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proad-sucl-geral\1 - LICITAÇÃO\1 - Pregão\2023\Pregão Eletrônico Nº 03-2023 - Vigilância Cerro Largo - RS\3- Publicação\"/>
    </mc:Choice>
  </mc:AlternateContent>
  <bookViews>
    <workbookView xWindow="0" yWindow="0" windowWidth="28800" windowHeight="11805" tabRatio="500" activeTab="1"/>
  </bookViews>
  <sheets>
    <sheet name="Instruções" sheetId="1" r:id="rId1"/>
    <sheet name="Proposta" sheetId="2" r:id="rId2"/>
    <sheet name="Insumos" sheetId="3" r:id="rId3"/>
    <sheet name="1" sheetId="4" r:id="rId4"/>
    <sheet name="2" sheetId="5" r:id="rId5"/>
    <sheet name="3" sheetId="6" r:id="rId6"/>
    <sheet name="4" sheetId="7" r:id="rId7"/>
    <sheet name="Equipamentos" sheetId="8" r:id="rId8"/>
    <sheet name="Combustível" sheetId="9" r:id="rId9"/>
  </sheets>
  <definedNames>
    <definedName name="_xlnm.Print_Area" localSheetId="3">'1'!$A$1:$H$66,'1'!$A$68:$H$132,'1'!$A$135:$H$169</definedName>
    <definedName name="_xlnm.Print_Area" localSheetId="4">'2'!$A$1:$H$66,'2'!$A$68:$H$132,'2'!$A$135:$H$169</definedName>
    <definedName name="_xlnm.Print_Area" localSheetId="5">'3'!$A$1:$H$66,'3'!$A$68:$H$132,'3'!$A$135:$H$169</definedName>
    <definedName name="_xlnm.Print_Area" localSheetId="6">'4'!$A$1:$H$66,'4'!$A$68:$H$132,'4'!$A$135:$H$173</definedName>
    <definedName name="_xlnm.Print_Area" localSheetId="8">Combustível!$A$1:$F$22</definedName>
    <definedName name="_xlnm.Print_Area" localSheetId="7">Equipamentos!$A$1:$H$37</definedName>
    <definedName name="_xlnm.Print_Area" localSheetId="0">Instruções!$A$1:$A$10</definedName>
    <definedName name="_xlnm.Print_Area" localSheetId="2">Insumos!$A$1:$E$28</definedName>
    <definedName name="_xlnm.Print_Area" localSheetId="1">Proposta!$A$1:$I$21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33" i="7" l="1"/>
  <c r="H32" i="7"/>
  <c r="H34" i="7" s="1"/>
  <c r="H26" i="7"/>
  <c r="H27" i="7" s="1"/>
  <c r="H33" i="6"/>
  <c r="H32" i="6"/>
  <c r="H34" i="6" s="1"/>
  <c r="H26" i="6"/>
  <c r="H92" i="5"/>
  <c r="H86" i="5"/>
  <c r="H77" i="5"/>
  <c r="H88" i="5"/>
  <c r="H33" i="5"/>
  <c r="H32" i="5"/>
  <c r="H34" i="5" s="1"/>
  <c r="H26" i="5"/>
  <c r="H28" i="5" s="1"/>
  <c r="H92" i="4"/>
  <c r="H86" i="4"/>
  <c r="H88" i="4"/>
  <c r="G48" i="7"/>
  <c r="G48" i="6"/>
  <c r="G48" i="5"/>
  <c r="G48" i="4"/>
  <c r="H33" i="4"/>
  <c r="H34" i="4" s="1"/>
  <c r="H32" i="4"/>
  <c r="H27" i="6" l="1"/>
  <c r="H27" i="5"/>
  <c r="F20" i="9"/>
  <c r="E18" i="9"/>
  <c r="B18" i="9"/>
  <c r="F11" i="9"/>
  <c r="F13" i="9" s="1"/>
  <c r="F15" i="9" s="1"/>
  <c r="D18" i="9" s="1"/>
  <c r="C7" i="9"/>
  <c r="C6" i="9"/>
  <c r="G32" i="8"/>
  <c r="E32" i="8"/>
  <c r="G31" i="8"/>
  <c r="E31" i="8"/>
  <c r="G30" i="8"/>
  <c r="E30" i="8"/>
  <c r="H30" i="8" s="1"/>
  <c r="G29" i="8"/>
  <c r="E29" i="8"/>
  <c r="E25" i="8"/>
  <c r="G25" i="8" s="1"/>
  <c r="B25" i="8"/>
  <c r="E24" i="8"/>
  <c r="B24" i="8"/>
  <c r="E23" i="8"/>
  <c r="G23" i="8" s="1"/>
  <c r="B23" i="8"/>
  <c r="E22" i="8"/>
  <c r="B22" i="8"/>
  <c r="E21" i="8"/>
  <c r="B21" i="8"/>
  <c r="E20" i="8"/>
  <c r="B20" i="8"/>
  <c r="E19" i="8"/>
  <c r="G19" i="8" s="1"/>
  <c r="B19" i="8"/>
  <c r="E18" i="8"/>
  <c r="B18" i="8"/>
  <c r="E17" i="8"/>
  <c r="B17" i="8"/>
  <c r="E16" i="8"/>
  <c r="B16" i="8"/>
  <c r="E15" i="8"/>
  <c r="G15" i="8" s="1"/>
  <c r="B15" i="8"/>
  <c r="E14" i="8"/>
  <c r="B14" i="8"/>
  <c r="E13" i="8"/>
  <c r="B13" i="8"/>
  <c r="E12" i="8"/>
  <c r="B12" i="8"/>
  <c r="E11" i="8"/>
  <c r="G11" i="8" s="1"/>
  <c r="B11" i="8"/>
  <c r="C7" i="8"/>
  <c r="C6" i="8"/>
  <c r="F172" i="7"/>
  <c r="H172" i="7" s="1"/>
  <c r="B172" i="7"/>
  <c r="F171" i="7"/>
  <c r="H171" i="7" s="1"/>
  <c r="B171" i="7"/>
  <c r="F170" i="7"/>
  <c r="H170" i="7" s="1"/>
  <c r="B170" i="7"/>
  <c r="F169" i="7"/>
  <c r="H169" i="7" s="1"/>
  <c r="B169" i="7"/>
  <c r="F168" i="7"/>
  <c r="H168" i="7" s="1"/>
  <c r="B168" i="7"/>
  <c r="F167" i="7"/>
  <c r="H167" i="7" s="1"/>
  <c r="B167" i="7"/>
  <c r="F166" i="7"/>
  <c r="H166" i="7" s="1"/>
  <c r="B166" i="7"/>
  <c r="F165" i="7"/>
  <c r="H165" i="7" s="1"/>
  <c r="B165" i="7"/>
  <c r="H164" i="7"/>
  <c r="F164" i="7"/>
  <c r="B164" i="7"/>
  <c r="F163" i="7"/>
  <c r="H163" i="7" s="1"/>
  <c r="B163" i="7"/>
  <c r="H159" i="7"/>
  <c r="H103" i="7" s="1"/>
  <c r="G149" i="7"/>
  <c r="A153" i="7" s="1"/>
  <c r="G153" i="7" s="1"/>
  <c r="A142" i="7"/>
  <c r="H142" i="7" s="1"/>
  <c r="H138" i="7"/>
  <c r="H131" i="7"/>
  <c r="H128" i="7"/>
  <c r="H126" i="7"/>
  <c r="G92" i="7"/>
  <c r="G91" i="7"/>
  <c r="G90" i="7"/>
  <c r="G89" i="7"/>
  <c r="G81" i="7"/>
  <c r="G79" i="7"/>
  <c r="G73" i="7"/>
  <c r="G72" i="7"/>
  <c r="G71" i="7"/>
  <c r="G54" i="7"/>
  <c r="G95" i="7" s="1"/>
  <c r="G40" i="7"/>
  <c r="H29" i="7"/>
  <c r="G11" i="7"/>
  <c r="C7" i="7"/>
  <c r="C6" i="7"/>
  <c r="F168" i="6"/>
  <c r="H168" i="6" s="1"/>
  <c r="B168" i="6"/>
  <c r="F167" i="6"/>
  <c r="H167" i="6" s="1"/>
  <c r="B167" i="6"/>
  <c r="F166" i="6"/>
  <c r="H166" i="6" s="1"/>
  <c r="B166" i="6"/>
  <c r="F165" i="6"/>
  <c r="H165" i="6" s="1"/>
  <c r="B165" i="6"/>
  <c r="F164" i="6"/>
  <c r="H164" i="6" s="1"/>
  <c r="B164" i="6"/>
  <c r="F163" i="6"/>
  <c r="H163" i="6" s="1"/>
  <c r="B163" i="6"/>
  <c r="F162" i="6"/>
  <c r="H162" i="6" s="1"/>
  <c r="B162" i="6"/>
  <c r="F161" i="6"/>
  <c r="H161" i="6" s="1"/>
  <c r="B161" i="6"/>
  <c r="F160" i="6"/>
  <c r="H160" i="6" s="1"/>
  <c r="B160" i="6"/>
  <c r="F159" i="6"/>
  <c r="H159" i="6" s="1"/>
  <c r="B159" i="6"/>
  <c r="G149" i="6"/>
  <c r="A153" i="6" s="1"/>
  <c r="G153" i="6" s="1"/>
  <c r="A142" i="6"/>
  <c r="H142" i="6" s="1"/>
  <c r="H144" i="6" s="1"/>
  <c r="H57" i="6" s="1"/>
  <c r="H138" i="6"/>
  <c r="H131" i="6"/>
  <c r="H128" i="6"/>
  <c r="H126" i="6"/>
  <c r="G92" i="6"/>
  <c r="G91" i="6"/>
  <c r="G90" i="6"/>
  <c r="G89" i="6"/>
  <c r="G81" i="6"/>
  <c r="G79" i="6"/>
  <c r="G73" i="6"/>
  <c r="G72" i="6"/>
  <c r="G71" i="6"/>
  <c r="G54" i="6"/>
  <c r="G95" i="6" s="1"/>
  <c r="G40" i="6"/>
  <c r="H29" i="6"/>
  <c r="G11" i="6"/>
  <c r="C7" i="6"/>
  <c r="C6" i="6"/>
  <c r="F168" i="5"/>
  <c r="H168" i="5" s="1"/>
  <c r="B168" i="5"/>
  <c r="F167" i="5"/>
  <c r="H167" i="5" s="1"/>
  <c r="B167" i="5"/>
  <c r="F166" i="5"/>
  <c r="H166" i="5" s="1"/>
  <c r="B166" i="5"/>
  <c r="F165" i="5"/>
  <c r="H165" i="5" s="1"/>
  <c r="B165" i="5"/>
  <c r="F164" i="5"/>
  <c r="H164" i="5" s="1"/>
  <c r="B164" i="5"/>
  <c r="F163" i="5"/>
  <c r="H163" i="5" s="1"/>
  <c r="B163" i="5"/>
  <c r="F162" i="5"/>
  <c r="H162" i="5" s="1"/>
  <c r="B162" i="5"/>
  <c r="F161" i="5"/>
  <c r="H161" i="5" s="1"/>
  <c r="B161" i="5"/>
  <c r="F160" i="5"/>
  <c r="H160" i="5" s="1"/>
  <c r="B160" i="5"/>
  <c r="F159" i="5"/>
  <c r="H159" i="5" s="1"/>
  <c r="B159" i="5"/>
  <c r="G149" i="5"/>
  <c r="A153" i="5" s="1"/>
  <c r="G153" i="5" s="1"/>
  <c r="H155" i="5" s="1"/>
  <c r="H58" i="5" s="1"/>
  <c r="A142" i="5"/>
  <c r="H142" i="5" s="1"/>
  <c r="H144" i="5" s="1"/>
  <c r="H57" i="5" s="1"/>
  <c r="H138" i="5"/>
  <c r="H131" i="5"/>
  <c r="H128" i="5"/>
  <c r="H126" i="5"/>
  <c r="G92" i="5"/>
  <c r="G91" i="5"/>
  <c r="G90" i="5"/>
  <c r="G89" i="5"/>
  <c r="G81" i="5"/>
  <c r="G79" i="5"/>
  <c r="G72" i="5"/>
  <c r="G73" i="5" s="1"/>
  <c r="G71" i="5"/>
  <c r="G54" i="5"/>
  <c r="G95" i="5" s="1"/>
  <c r="G40" i="5"/>
  <c r="H29" i="5"/>
  <c r="G11" i="5"/>
  <c r="F168" i="4"/>
  <c r="H168" i="4" s="1"/>
  <c r="B168" i="4"/>
  <c r="F167" i="4"/>
  <c r="H167" i="4" s="1"/>
  <c r="B167" i="4"/>
  <c r="F166" i="4"/>
  <c r="H166" i="4" s="1"/>
  <c r="B166" i="4"/>
  <c r="F165" i="4"/>
  <c r="H165" i="4" s="1"/>
  <c r="B165" i="4"/>
  <c r="F164" i="4"/>
  <c r="H164" i="4" s="1"/>
  <c r="B164" i="4"/>
  <c r="F163" i="4"/>
  <c r="H163" i="4" s="1"/>
  <c r="B163" i="4"/>
  <c r="F162" i="4"/>
  <c r="H162" i="4" s="1"/>
  <c r="B162" i="4"/>
  <c r="F161" i="4"/>
  <c r="H161" i="4" s="1"/>
  <c r="B161" i="4"/>
  <c r="F160" i="4"/>
  <c r="H160" i="4" s="1"/>
  <c r="B160" i="4"/>
  <c r="F159" i="4"/>
  <c r="H159" i="4" s="1"/>
  <c r="B159" i="4"/>
  <c r="G149" i="4"/>
  <c r="A153" i="4" s="1"/>
  <c r="G153" i="4" s="1"/>
  <c r="H155" i="4" s="1"/>
  <c r="H58" i="4" s="1"/>
  <c r="A142" i="4"/>
  <c r="H142" i="4" s="1"/>
  <c r="H144" i="4" s="1"/>
  <c r="H57" i="4" s="1"/>
  <c r="H60" i="4" s="1"/>
  <c r="H65" i="4" s="1"/>
  <c r="H138" i="4"/>
  <c r="H131" i="4"/>
  <c r="H128" i="4"/>
  <c r="H126" i="4"/>
  <c r="G92" i="4"/>
  <c r="G91" i="4"/>
  <c r="G90" i="4"/>
  <c r="G89" i="4"/>
  <c r="G81" i="4"/>
  <c r="G79" i="4"/>
  <c r="G72" i="4"/>
  <c r="G73" i="4" s="1"/>
  <c r="G71" i="4"/>
  <c r="G54" i="4"/>
  <c r="G95" i="4" s="1"/>
  <c r="G40" i="4"/>
  <c r="H26" i="4"/>
  <c r="G11" i="4"/>
  <c r="C7" i="4"/>
  <c r="C6" i="4"/>
  <c r="E17" i="2"/>
  <c r="E16" i="2"/>
  <c r="E15" i="2"/>
  <c r="E14" i="2"/>
  <c r="H31" i="8" l="1"/>
  <c r="H144" i="7"/>
  <c r="H57" i="7" s="1"/>
  <c r="H88" i="7"/>
  <c r="H32" i="8"/>
  <c r="H88" i="6"/>
  <c r="H41" i="6"/>
  <c r="H29" i="8"/>
  <c r="H36" i="5"/>
  <c r="G80" i="7"/>
  <c r="G80" i="6"/>
  <c r="G80" i="5"/>
  <c r="H169" i="4"/>
  <c r="H100" i="4" s="1"/>
  <c r="H28" i="4"/>
  <c r="H27" i="4"/>
  <c r="F18" i="9"/>
  <c r="F22" i="9" s="1"/>
  <c r="H101" i="6" s="1"/>
  <c r="H33" i="8"/>
  <c r="H25" i="8"/>
  <c r="H116" i="5"/>
  <c r="H40" i="7"/>
  <c r="H36" i="7"/>
  <c r="H76" i="7"/>
  <c r="H79" i="7" s="1"/>
  <c r="H41" i="7"/>
  <c r="H69" i="7" s="1"/>
  <c r="G80" i="4"/>
  <c r="H41" i="5"/>
  <c r="H76" i="5"/>
  <c r="H79" i="5" s="1"/>
  <c r="H29" i="4"/>
  <c r="H173" i="7"/>
  <c r="H100" i="7" s="1"/>
  <c r="H40" i="5"/>
  <c r="H42" i="5" s="1"/>
  <c r="H63" i="5" s="1"/>
  <c r="H60" i="5"/>
  <c r="H65" i="5" s="1"/>
  <c r="H40" i="6"/>
  <c r="H42" i="6" s="1"/>
  <c r="H63" i="6" s="1"/>
  <c r="H36" i="6"/>
  <c r="H60" i="6"/>
  <c r="H65" i="6" s="1"/>
  <c r="H76" i="6"/>
  <c r="H79" i="6" s="1"/>
  <c r="H155" i="7"/>
  <c r="H58" i="7" s="1"/>
  <c r="G14" i="8"/>
  <c r="H14" i="8" s="1"/>
  <c r="G18" i="8"/>
  <c r="H18" i="8" s="1"/>
  <c r="G22" i="8"/>
  <c r="H22" i="8" s="1"/>
  <c r="H169" i="5"/>
  <c r="H100" i="5" s="1"/>
  <c r="H169" i="6"/>
  <c r="H100" i="6" s="1"/>
  <c r="G13" i="8"/>
  <c r="H13" i="8" s="1"/>
  <c r="G17" i="8"/>
  <c r="H17" i="8" s="1"/>
  <c r="G21" i="8"/>
  <c r="H21" i="8" s="1"/>
  <c r="H155" i="6"/>
  <c r="H58" i="6" s="1"/>
  <c r="H11" i="8"/>
  <c r="G12" i="8"/>
  <c r="H12" i="8" s="1"/>
  <c r="H15" i="8"/>
  <c r="G16" i="8"/>
  <c r="H16" i="8" s="1"/>
  <c r="H19" i="8"/>
  <c r="G20" i="8"/>
  <c r="H20" i="8" s="1"/>
  <c r="H23" i="8"/>
  <c r="G24" i="8"/>
  <c r="H24" i="8" s="1"/>
  <c r="H77" i="7" l="1"/>
  <c r="H60" i="7"/>
  <c r="H65" i="7" s="1"/>
  <c r="H44" i="6"/>
  <c r="H48" i="6" s="1"/>
  <c r="H86" i="6"/>
  <c r="H92" i="6"/>
  <c r="H77" i="6"/>
  <c r="H91" i="5"/>
  <c r="H101" i="4"/>
  <c r="H89" i="5"/>
  <c r="H90" i="5"/>
  <c r="H116" i="6"/>
  <c r="H116" i="7"/>
  <c r="H50" i="6"/>
  <c r="H46" i="6"/>
  <c r="H53" i="6"/>
  <c r="H49" i="6"/>
  <c r="H52" i="6"/>
  <c r="H47" i="6"/>
  <c r="H51" i="6"/>
  <c r="H80" i="7"/>
  <c r="H80" i="5"/>
  <c r="H73" i="7"/>
  <c r="H71" i="7"/>
  <c r="H26" i="8"/>
  <c r="H35" i="8" s="1"/>
  <c r="H80" i="6"/>
  <c r="H44" i="5"/>
  <c r="H48" i="5" s="1"/>
  <c r="H40" i="4"/>
  <c r="H41" i="4"/>
  <c r="H76" i="4"/>
  <c r="H79" i="4" s="1"/>
  <c r="H36" i="4"/>
  <c r="H42" i="7"/>
  <c r="H92" i="7" l="1"/>
  <c r="H86" i="7"/>
  <c r="H54" i="6"/>
  <c r="H64" i="6" s="1"/>
  <c r="H66" i="6" s="1"/>
  <c r="H117" i="6" s="1"/>
  <c r="H42" i="4"/>
  <c r="H63" i="4" s="1"/>
  <c r="H91" i="6"/>
  <c r="H89" i="6"/>
  <c r="H90" i="6"/>
  <c r="H116" i="4"/>
  <c r="H80" i="4"/>
  <c r="H72" i="7"/>
  <c r="H74" i="7" s="1"/>
  <c r="H63" i="7"/>
  <c r="H44" i="7"/>
  <c r="H48" i="7" s="1"/>
  <c r="H53" i="5"/>
  <c r="H49" i="5"/>
  <c r="H52" i="5"/>
  <c r="H47" i="5"/>
  <c r="H51" i="5"/>
  <c r="H46" i="5"/>
  <c r="H50" i="5"/>
  <c r="H69" i="4"/>
  <c r="H102" i="6"/>
  <c r="H104" i="6" s="1"/>
  <c r="H120" i="6" s="1"/>
  <c r="H102" i="7"/>
  <c r="H104" i="7" s="1"/>
  <c r="H120" i="7" s="1"/>
  <c r="H102" i="5"/>
  <c r="H104" i="5" s="1"/>
  <c r="H120" i="5" s="1"/>
  <c r="H102" i="4"/>
  <c r="H104" i="4" s="1"/>
  <c r="H120" i="4" s="1"/>
  <c r="H94" i="5"/>
  <c r="H81" i="5"/>
  <c r="H82" i="5" s="1"/>
  <c r="H69" i="5"/>
  <c r="H44" i="4" l="1"/>
  <c r="H52" i="4" s="1"/>
  <c r="H73" i="4"/>
  <c r="H71" i="4"/>
  <c r="H94" i="6"/>
  <c r="H81" i="6"/>
  <c r="H82" i="6" s="1"/>
  <c r="H69" i="6"/>
  <c r="H95" i="5"/>
  <c r="H50" i="7"/>
  <c r="H46" i="7"/>
  <c r="H53" i="7"/>
  <c r="H49" i="7"/>
  <c r="H52" i="7"/>
  <c r="H51" i="7"/>
  <c r="H47" i="7"/>
  <c r="H53" i="4"/>
  <c r="H49" i="4"/>
  <c r="H91" i="7"/>
  <c r="H89" i="7"/>
  <c r="H90" i="7"/>
  <c r="H73" i="5"/>
  <c r="H71" i="5"/>
  <c r="H54" i="5"/>
  <c r="H64" i="5" s="1"/>
  <c r="H66" i="5" s="1"/>
  <c r="H96" i="5" l="1"/>
  <c r="F108" i="5" s="1"/>
  <c r="H46" i="4"/>
  <c r="H47" i="4"/>
  <c r="H50" i="4"/>
  <c r="H51" i="4"/>
  <c r="H48" i="4"/>
  <c r="H117" i="5"/>
  <c r="H94" i="7"/>
  <c r="H81" i="7"/>
  <c r="H82" i="7" s="1"/>
  <c r="H83" i="7" s="1"/>
  <c r="H118" i="7" s="1"/>
  <c r="H72" i="5"/>
  <c r="H74" i="5" s="1"/>
  <c r="H83" i="5" s="1"/>
  <c r="H118" i="5" s="1"/>
  <c r="H54" i="7"/>
  <c r="H64" i="7" s="1"/>
  <c r="H66" i="7" s="1"/>
  <c r="H73" i="6"/>
  <c r="H71" i="6"/>
  <c r="H95" i="6"/>
  <c r="H96" i="6" s="1"/>
  <c r="H119" i="6" s="1"/>
  <c r="H72" i="4"/>
  <c r="H74" i="4" s="1"/>
  <c r="H119" i="5" l="1"/>
  <c r="H54" i="4"/>
  <c r="H64" i="4" s="1"/>
  <c r="H66" i="4" s="1"/>
  <c r="H117" i="4" s="1"/>
  <c r="H117" i="7"/>
  <c r="H95" i="7"/>
  <c r="H96" i="7" s="1"/>
  <c r="H119" i="7" s="1"/>
  <c r="H72" i="6"/>
  <c r="H74" i="6" s="1"/>
  <c r="H83" i="6" s="1"/>
  <c r="F108" i="7" l="1"/>
  <c r="H108" i="7" s="1"/>
  <c r="H118" i="6"/>
  <c r="F108" i="6"/>
  <c r="H108" i="5"/>
  <c r="H108" i="6" l="1"/>
  <c r="F109" i="5"/>
  <c r="F109" i="7"/>
  <c r="H109" i="5" l="1"/>
  <c r="F111" i="5" s="1"/>
  <c r="H109" i="7"/>
  <c r="F111" i="7" s="1"/>
  <c r="F109" i="6"/>
  <c r="H111" i="7" l="1"/>
  <c r="F112" i="7" s="1"/>
  <c r="H112" i="7" s="1"/>
  <c r="H109" i="6"/>
  <c r="F111" i="6" s="1"/>
  <c r="H111" i="5"/>
  <c r="F112" i="5" s="1"/>
  <c r="H112" i="5" s="1"/>
  <c r="H113" i="7" l="1"/>
  <c r="H121" i="7" s="1"/>
  <c r="H122" i="7" s="1"/>
  <c r="H125" i="7" s="1"/>
  <c r="H127" i="7" s="1"/>
  <c r="H111" i="6"/>
  <c r="H113" i="5"/>
  <c r="H121" i="5" s="1"/>
  <c r="H122" i="5" s="1"/>
  <c r="H125" i="5" s="1"/>
  <c r="H127" i="5" s="1"/>
  <c r="H129" i="5" l="1"/>
  <c r="F15" i="2"/>
  <c r="F17" i="2"/>
  <c r="H129" i="7"/>
  <c r="F112" i="6"/>
  <c r="H112" i="6" s="1"/>
  <c r="H113" i="6" s="1"/>
  <c r="H121" i="6" s="1"/>
  <c r="H122" i="6" s="1"/>
  <c r="H125" i="6" s="1"/>
  <c r="H127" i="6" s="1"/>
  <c r="H129" i="6" l="1"/>
  <c r="F16" i="2"/>
  <c r="G15" i="2"/>
  <c r="H15" i="2"/>
  <c r="H130" i="7"/>
  <c r="H132" i="7"/>
  <c r="H132" i="5"/>
  <c r="H130" i="5"/>
  <c r="H17" i="2"/>
  <c r="G17" i="2"/>
  <c r="G16" i="2" l="1"/>
  <c r="H16" i="2"/>
  <c r="H130" i="6"/>
  <c r="H132" i="6"/>
  <c r="H89" i="4"/>
  <c r="H90" i="4"/>
  <c r="H91" i="4"/>
  <c r="H94" i="4"/>
  <c r="H95" i="4" s="1"/>
  <c r="H77" i="4" l="1"/>
  <c r="H81" i="4" s="1"/>
  <c r="H82" i="4" s="1"/>
  <c r="H83" i="4" s="1"/>
  <c r="H118" i="4" s="1"/>
  <c r="H96" i="4"/>
  <c r="H119" i="4" s="1"/>
  <c r="F108" i="4" l="1"/>
  <c r="H108" i="4" l="1"/>
  <c r="F109" i="4" s="1"/>
  <c r="H109" i="4" l="1"/>
  <c r="F111" i="4" s="1"/>
  <c r="H111" i="4" l="1"/>
  <c r="F112" i="4" l="1"/>
  <c r="H112" i="4" s="1"/>
  <c r="H113" i="4" s="1"/>
  <c r="H121" i="4" s="1"/>
  <c r="H122" i="4" s="1"/>
  <c r="H125" i="4" s="1"/>
  <c r="H127" i="4" s="1"/>
  <c r="H129" i="4" l="1"/>
  <c r="F14" i="2"/>
  <c r="H14" i="2" l="1"/>
  <c r="H18" i="2" s="1"/>
  <c r="G14" i="2"/>
  <c r="G18" i="2" s="1"/>
  <c r="H130" i="4"/>
  <c r="H132" i="4"/>
</calcChain>
</file>

<file path=xl/comments1.xml><?xml version="1.0" encoding="utf-8"?>
<comments xmlns="http://schemas.openxmlformats.org/spreadsheetml/2006/main">
  <authors>
    <author/>
  </authors>
  <commentList>
    <comment ref="A157" authorId="0" shapeId="0">
      <text>
        <r>
          <rPr>
            <sz val="10"/>
            <rFont val="Arial"/>
            <family val="2"/>
          </rPr>
          <t>https://www.gov.br/pt-br/servicos/obter-licenca-para-porte-e-uso-de-motosserra</t>
        </r>
      </text>
    </comment>
  </commentList>
</comments>
</file>

<file path=xl/sharedStrings.xml><?xml version="1.0" encoding="utf-8"?>
<sst xmlns="http://schemas.openxmlformats.org/spreadsheetml/2006/main" count="1144" uniqueCount="280">
  <si>
    <t>O valor dos uniformes, materiais e equipamentos deve ser alterado apenas na aba “Insumos”. Não alterar individualmente nos postos de trabalho e nas memórias de cálculo dos equipamentos e combustível.</t>
  </si>
  <si>
    <t>MINISTÉRIO DA EDUCAÇÃO</t>
  </si>
  <si>
    <t>UNIVERSIDADE FEDERAL DA FRONTEIRA SUL</t>
  </si>
  <si>
    <t>PRÓ-REITORIA DE ADMINISTRAÇÃO E INFRAESTRUTURA</t>
  </si>
  <si>
    <t>"Encarte F"</t>
  </si>
  <si>
    <t>APRESENTAÇÃO DA PROPOSTA DE PREÇOS - PREGÃO ELETRÔNICO N° 03/2023</t>
  </si>
  <si>
    <t>Data da proposta:</t>
  </si>
  <si>
    <t>Cidade:</t>
  </si>
  <si>
    <t>UF:</t>
  </si>
  <si>
    <t xml:space="preserve">Razão Social: </t>
  </si>
  <si>
    <t xml:space="preserve">CNPJ: </t>
  </si>
  <si>
    <t>Fone:</t>
  </si>
  <si>
    <t>E-mail:</t>
  </si>
  <si>
    <t>Banco:</t>
  </si>
  <si>
    <t xml:space="preserve"> Agência:</t>
  </si>
  <si>
    <t xml:space="preserve">Conta Corrente: </t>
  </si>
  <si>
    <t>VALOR TOTAL DOS SERVIÇOS</t>
  </si>
  <si>
    <t>Grupo</t>
  </si>
  <si>
    <t>Item</t>
  </si>
  <si>
    <t>Cód. Sipac</t>
  </si>
  <si>
    <t>DESCRIÇÃO</t>
  </si>
  <si>
    <t>Quantidade de postos</t>
  </si>
  <si>
    <t>Valor do Posto</t>
  </si>
  <si>
    <t>Valor mensal da contratação</t>
  </si>
  <si>
    <t>Valor anual da contratação</t>
  </si>
  <si>
    <t>CAMPUS CERRO LARGO – VIGILÂNCIA ARMADA MOTORIZADA – NOTURNA</t>
  </si>
  <si>
    <t>CAMPUS CERRO LARGO – VIGILÂNCIA ARMADA – NOTURNA</t>
  </si>
  <si>
    <t>CAMPUS CERRO LARGO – VIGILÂNCIA DESARMADA MOTORIZADA – DIURNA</t>
  </si>
  <si>
    <t>CAMPUS CERRO LARGO – VIGILÂNCIA DESARMADA – DIURNA</t>
  </si>
  <si>
    <t>TOTAL</t>
  </si>
  <si>
    <t>Nome e Assinatura do representante legal</t>
  </si>
  <si>
    <t>CPF</t>
  </si>
  <si>
    <t>Especificações e valores dos insumos</t>
  </si>
  <si>
    <t>Descrição</t>
  </si>
  <si>
    <t>Especificação</t>
  </si>
  <si>
    <t>Preço</t>
  </si>
  <si>
    <t>Uniforme</t>
  </si>
  <si>
    <t>Apito com cordão</t>
  </si>
  <si>
    <t>Calça</t>
  </si>
  <si>
    <t>Camisa de mangas curtas</t>
  </si>
  <si>
    <t>Camisa de mangas longas</t>
  </si>
  <si>
    <t>Equipamento</t>
  </si>
  <si>
    <t>Capa de chuva</t>
  </si>
  <si>
    <t>Capa de Chuva Longa/Vértice e Capuz integrado. Nylon/PVC. Fechamento Duplo CA 28728</t>
  </si>
  <si>
    <t>Capa para Colete Balístico</t>
  </si>
  <si>
    <t>Capacete para motociclista</t>
  </si>
  <si>
    <t>Capacete para motociclista regulamentado pela Portaria Inmetro nº 086</t>
  </si>
  <si>
    <t>Cinto de Nylon</t>
  </si>
  <si>
    <t>Cofre para arma</t>
  </si>
  <si>
    <t>Cofre para armas. Fabricado em chapas de aço. Duplo sistema de fechadura, por senha eletrônica programável e por chave mecânica.Travamento com dois pinos (ferrolhos) horizontais. Volume interno mínimo 4 litros.</t>
  </si>
  <si>
    <t>Coldre para revólver calibre 38</t>
  </si>
  <si>
    <t>Colete balístico</t>
  </si>
  <si>
    <t>Colete balístico. Nível mínimo de proteção II-A. Capa primária em Neoprene ou RipStop removível. Validade mínima 5 anos.</t>
  </si>
  <si>
    <t>Crachá de identificação</t>
  </si>
  <si>
    <t>Material</t>
  </si>
  <si>
    <t>Gasolina</t>
  </si>
  <si>
    <t>Guarda-chuva</t>
  </si>
  <si>
    <t>Guarda-chuva grande, automático, não-retrátil.</t>
  </si>
  <si>
    <t>Jaqueta de frio/Japona</t>
  </si>
  <si>
    <t>Lanterna</t>
  </si>
  <si>
    <t>Lanterna tática, tecnologia Led XML-T9 V2, potencia 5.400.000 lumens, carcaça metálica resistente a água, regulagem de zoom/foco, bateria de íon de lítio 9800mAh recarregável e carregador bi-volt (110v – 220v).</t>
  </si>
  <si>
    <t>Livro de ocorrências</t>
  </si>
  <si>
    <t>Livro de registro/ocorrências, 50 folhas numeradas e pautadas; capa dura; formato mínimo: 210mm x 310mm; gramatura: 56 g/m².</t>
  </si>
  <si>
    <t>Motocicleta</t>
  </si>
  <si>
    <t>Motocicleta com no mínimo 150cc, ano de fabricação 2022 ou posterior, com combustível e veículo por responsabilidade da contratada (Moto tem que ser compatível com estrada de chão).</t>
  </si>
  <si>
    <t>Munição para revólver calibre 38</t>
  </si>
  <si>
    <t>Munição para revólver calibre 38 (Kit com 10 unidades)</t>
  </si>
  <si>
    <t>Porta tonfa</t>
  </si>
  <si>
    <t>Quepe/Boné com emblema</t>
  </si>
  <si>
    <t>Rádios UHF/VHF</t>
  </si>
  <si>
    <t>Rádios UHF/VHF e carregadores para todos os vigilantes e fiscais: rádio profissional em UHF/VHF, com frequência mínima de 450MHZ, com bateria recarregável, antena, chip de cinto e carregador bi-volt (110v – 220v)</t>
  </si>
  <si>
    <t>Revólver calibre 38</t>
  </si>
  <si>
    <t>Sapatos/coturno</t>
  </si>
  <si>
    <t>Bota coturno longa de couro</t>
  </si>
  <si>
    <t>Sistema de controle de rondas</t>
  </si>
  <si>
    <t>Sistema de controle de rondas, contendo bastão, botões (ibuttons) eletrônicos com código único e inviolável, à prova d’água, resistente ao calor e ao frio, carregador, cabo USB para transferência dos dados do bastão para o computador e software de controle de ronda. (Mínimo de 1 bastão e 10 botões)</t>
  </si>
  <si>
    <t>Tonfa</t>
  </si>
  <si>
    <t>PLANILHA DE CUSTOS E FORMAÇÃO DE PREÇOS</t>
  </si>
  <si>
    <t>Nº do Processo</t>
  </si>
  <si>
    <t>Licitação nº</t>
  </si>
  <si>
    <t xml:space="preserve">DISCRIMINAÇÃO DOS SERVIÇOS </t>
  </si>
  <si>
    <t>A</t>
  </si>
  <si>
    <t>Tipo de serviço</t>
  </si>
  <si>
    <t>VIGILÂNCIA ARMADA MOTORIZADA – NOTURNA</t>
  </si>
  <si>
    <t>B</t>
  </si>
  <si>
    <t>Data de apresentação da proposta (dia/mês/ano)</t>
  </si>
  <si>
    <t>C</t>
  </si>
  <si>
    <t>Município/UF</t>
  </si>
  <si>
    <t>Cerro Largo/RS</t>
  </si>
  <si>
    <t>D</t>
  </si>
  <si>
    <t>Ano da Convenção Coletiva de Trabalho</t>
  </si>
  <si>
    <t>2022/2023</t>
  </si>
  <si>
    <t>E</t>
  </si>
  <si>
    <t>CNPJ Sindicato</t>
  </si>
  <si>
    <t>91.343.293/0001-65</t>
  </si>
  <si>
    <t>F</t>
  </si>
  <si>
    <t>Número do Registro no MTE</t>
  </si>
  <si>
    <t>G</t>
  </si>
  <si>
    <t>Classificação Brasileira de Ocupações (CBO)</t>
  </si>
  <si>
    <t>5173-30 – VIGILANTE</t>
  </si>
  <si>
    <t>H</t>
  </si>
  <si>
    <t>Data base da categoria</t>
  </si>
  <si>
    <t>I</t>
  </si>
  <si>
    <t>Nº de meses de execução contratual</t>
  </si>
  <si>
    <t>J</t>
  </si>
  <si>
    <t>Unidade de Medida</t>
  </si>
  <si>
    <t>Posto</t>
  </si>
  <si>
    <t>K</t>
  </si>
  <si>
    <t>L</t>
  </si>
  <si>
    <t>Quantidade de profissional por posto de serviço</t>
  </si>
  <si>
    <t>MÓDULO 1 – COMPOSIÇÃO DA REMUNERAÇÃO</t>
  </si>
  <si>
    <t>1.1</t>
  </si>
  <si>
    <t>SUBMÓDULO 1.1 COMPOSIÇÃO DA REMUNERAÇÃO</t>
  </si>
  <si>
    <t>Percentual (%)</t>
  </si>
  <si>
    <t>Valor (R$)</t>
  </si>
  <si>
    <t>Salário Base</t>
  </si>
  <si>
    <t>Adicional de Periculosidade</t>
  </si>
  <si>
    <t>Adicional Noturno</t>
  </si>
  <si>
    <t>Adicional de Hora Noturna Reduzida</t>
  </si>
  <si>
    <t>Adicional Troca de Uniforme</t>
  </si>
  <si>
    <r>
      <rPr>
        <b/>
        <sz val="10"/>
        <rFont val="Calibri"/>
        <family val="2"/>
      </rPr>
      <t>TOTAL SUBMÓDULO 1.1 (</t>
    </r>
    <r>
      <rPr>
        <b/>
        <sz val="9"/>
        <color rgb="FF000000"/>
        <rFont val="Arial"/>
        <family val="2"/>
      </rPr>
      <t>incide INSS + FGTS + Férias, etc.)</t>
    </r>
  </si>
  <si>
    <t>1.2</t>
  </si>
  <si>
    <t>SUBMÓDULO 1.2 – INTRAJORNADA</t>
  </si>
  <si>
    <t>Intervalo Intrajornada (Adicional de Intervalo)</t>
  </si>
  <si>
    <t>TOTAL SUBMÓDULO 1.2</t>
  </si>
  <si>
    <t>TOTAL MÓDULO 1</t>
  </si>
  <si>
    <t>MÓDULO 2 – ENCARGOS, BENEFÍCIOS MENSAIS E DIÁRIOS</t>
  </si>
  <si>
    <t>2.1</t>
  </si>
  <si>
    <t>SUBMÓDULO 2.1 - 13º SALÁRIO E ADICIONAL DE FÉRIAS</t>
  </si>
  <si>
    <t>% Total</t>
  </si>
  <si>
    <t>13º Salário</t>
  </si>
  <si>
    <t>Férias e Adicional de Férias</t>
  </si>
  <si>
    <t>TOTAL SUBMÓDULO 2.1</t>
  </si>
  <si>
    <t>Base De Cálculo Para os Encargos Previdenciários e FGTS</t>
  </si>
  <si>
    <t>2.2</t>
  </si>
  <si>
    <t>SUBMÓDULO 2.2 - ENCARGOS PREVIDENCIÁRIOS E FGTS</t>
  </si>
  <si>
    <t>%</t>
  </si>
  <si>
    <t>INSS</t>
  </si>
  <si>
    <t>Salário Educação</t>
  </si>
  <si>
    <t>SAT- GIL/RAT</t>
  </si>
  <si>
    <t>SESC</t>
  </si>
  <si>
    <t>SENAC</t>
  </si>
  <si>
    <t>SEBRAE</t>
  </si>
  <si>
    <t>INCRA</t>
  </si>
  <si>
    <t>FGTS</t>
  </si>
  <si>
    <t>TOTAL SUBMÓDULO 2.2</t>
  </si>
  <si>
    <t>2.3</t>
  </si>
  <si>
    <t>SUBMÓDULO 2.3 - BENEFÍCIOS MENSAIS E DIÁRIOS</t>
  </si>
  <si>
    <t>Transporte</t>
  </si>
  <si>
    <t>Auxílio-Refeição/Alimentação</t>
  </si>
  <si>
    <t>Outros (especificar)</t>
  </si>
  <si>
    <t>TOTAL SUBMÓDULO 2.3</t>
  </si>
  <si>
    <t>QUADRO RESUMO MÓDULO 2 – ENCARGOS, BENEFÍCIOS MENSAIS E DIÁRIOS</t>
  </si>
  <si>
    <t>13º (décimo terceiro) Salário, Férias e Adicional de Férias</t>
  </si>
  <si>
    <t>GPS, FGTS e outras contribuições</t>
  </si>
  <si>
    <t>Benefícios Mensais e Diários</t>
  </si>
  <si>
    <t>TOTAL MÓDULO 2</t>
  </si>
  <si>
    <t>MÓDULO 3 – PROVISÃO PARA RESCISÃO</t>
  </si>
  <si>
    <t>Base de Cálculo para o Custo de Aviso Prévio Indenizado</t>
  </si>
  <si>
    <t>3.1</t>
  </si>
  <si>
    <t>SUBMÓDULO 3.1 - AVISO PRÉVIO INDENIZADO</t>
  </si>
  <si>
    <t>% API</t>
  </si>
  <si>
    <t>Aviso prévio indenizado (API)</t>
  </si>
  <si>
    <t>Incidência do FGTS sobre o API</t>
  </si>
  <si>
    <t>Multa do FGTS e contribuições sociais sobre o API</t>
  </si>
  <si>
    <t>TOTAL SUBMÓDULO 3.1</t>
  </si>
  <si>
    <r>
      <rPr>
        <b/>
        <sz val="10"/>
        <rFont val="Calibri"/>
        <family val="2"/>
      </rPr>
      <t xml:space="preserve">Base de Cálculo para a </t>
    </r>
    <r>
      <rPr>
        <b/>
        <sz val="10"/>
        <color rgb="FF000000"/>
        <rFont val="Calibri"/>
        <family val="2"/>
      </rPr>
      <t>Multa do FGTS e contribuições sociais sobre o APT</t>
    </r>
  </si>
  <si>
    <t>3.2</t>
  </si>
  <si>
    <t>SUBMÓDULO 3.2 - AVISO PRÉVIO TRABALHADO</t>
  </si>
  <si>
    <t>% APT</t>
  </si>
  <si>
    <t>Aviso prévio trabalhado (APT)</t>
  </si>
  <si>
    <t>Incidência de GPS, FGTS e outras contribuições sobre o APT</t>
  </si>
  <si>
    <t>Multa do FGTS e contribuições sociais sobre o APT</t>
  </si>
  <si>
    <t>TOTAL SUBMÓDULO 3.2</t>
  </si>
  <si>
    <t>TOTAL - MÓDULO 3</t>
  </si>
  <si>
    <t>MÓDULO 4 – CUSTO DE REPOSIÇÃO DO PROFISSIONAL AUSENTE</t>
  </si>
  <si>
    <t>Base de Cálculo para o Custo de Reposição do Profissional Ausente</t>
  </si>
  <si>
    <t>4.1</t>
  </si>
  <si>
    <t>SUBMÓDULO 4.1 – SUBSTITUTO NAS AUSÊNCIAS LEGAIS</t>
  </si>
  <si>
    <t>Férias</t>
  </si>
  <si>
    <t>Ausências Legais</t>
  </si>
  <si>
    <t>Licença Paternidade</t>
  </si>
  <si>
    <t>Ausência por acidente de trabalho</t>
  </si>
  <si>
    <t>Afastamento Maternidade</t>
  </si>
  <si>
    <t>Total</t>
  </si>
  <si>
    <t>Incidência dos encargos do Submódulo 2.2 sobre o total do Submódulo 4.1</t>
  </si>
  <si>
    <t>TOTAL - MÓDULO 4</t>
  </si>
  <si>
    <t>MÓDULO 5 – INSUMOS, EQUIPAMENTOS E DEPRECIAÇÃO</t>
  </si>
  <si>
    <t>Insumos Diversos</t>
  </si>
  <si>
    <t>Uniformes e EPI</t>
  </si>
  <si>
    <t>Combustível</t>
  </si>
  <si>
    <t>Equipamentos</t>
  </si>
  <si>
    <t>TOTAL - MÓDULO 5</t>
  </si>
  <si>
    <t>MÓDULO 6 – CUSTOS INDIRETOS, TRIBUTOS E LUCRO</t>
  </si>
  <si>
    <t>Custos Indiretos, Tributos e Lucro</t>
  </si>
  <si>
    <t>Base de cálculo</t>
  </si>
  <si>
    <t>Custos indiretos</t>
  </si>
  <si>
    <t>Lucro</t>
  </si>
  <si>
    <t>Tributos</t>
  </si>
  <si>
    <r>
      <rPr>
        <sz val="10"/>
        <rFont val="Calibri"/>
        <family val="2"/>
      </rPr>
      <t xml:space="preserve">C.1 – Tributos Federais </t>
    </r>
    <r>
      <rPr>
        <sz val="9"/>
        <rFont val="Calibri"/>
        <family val="2"/>
      </rPr>
      <t>(PIS - 0,65%, COFINS – 3,00%)</t>
    </r>
  </si>
  <si>
    <t>C.2 – Tributos Municipais (ISS: 4%)</t>
  </si>
  <si>
    <t>TOTAL - MÓDULO 6</t>
  </si>
  <si>
    <t>CUSTO TOTAL DA MÃO DE OBRA – VALOR TOTAL POR POSTO</t>
  </si>
  <si>
    <t>Valor Unit.(R$)</t>
  </si>
  <si>
    <t>Módulo 1: Composição da Remuneração</t>
  </si>
  <si>
    <t>Módulo 2: Encargos e Benefícios Anuais, Mensais e Diários</t>
  </si>
  <si>
    <t>Módulo 3: Provisão para Rescisão</t>
  </si>
  <si>
    <t>Módulo 4: Custo Reposição Profissional Ausente</t>
  </si>
  <si>
    <t>Módulo 5: Insumos Diversos</t>
  </si>
  <si>
    <t>Módulo 6: Custos Indiretos, Tributos e Lucro</t>
  </si>
  <si>
    <t>VALOR TOTAL POR FUNCIONÁRIO</t>
  </si>
  <si>
    <t>QUADRO RESUMO VALOR DOS SERVIÇOS</t>
  </si>
  <si>
    <t>Valor mensal por funcionário</t>
  </si>
  <si>
    <t>Quant. funcionários por posto</t>
  </si>
  <si>
    <t xml:space="preserve">Valor mensal do posto de serviço </t>
  </si>
  <si>
    <t xml:space="preserve">Valor total mensal do posto de serviço </t>
  </si>
  <si>
    <t xml:space="preserve">Valor total anual do posto de serviço </t>
  </si>
  <si>
    <t>Número de meses do contrato</t>
  </si>
  <si>
    <t>Valor global do item</t>
  </si>
  <si>
    <t>Memória de cálculo vale transporte</t>
  </si>
  <si>
    <t>Custo da Passagem</t>
  </si>
  <si>
    <t>Valor Unitário</t>
  </si>
  <si>
    <t>Vales por dia</t>
  </si>
  <si>
    <t>Dias efetivamente trabalhados</t>
  </si>
  <si>
    <t>Custo total</t>
  </si>
  <si>
    <t>Desconto do vale transporte</t>
  </si>
  <si>
    <t>Base de Cálculo</t>
  </si>
  <si>
    <t>Proporcionalidade</t>
  </si>
  <si>
    <t>Percentual de desconto</t>
  </si>
  <si>
    <t>Desconto</t>
  </si>
  <si>
    <t>CUSTO EFETIVO DO VALE TRANSPORTE</t>
  </si>
  <si>
    <r>
      <rPr>
        <b/>
        <sz val="10"/>
        <rFont val="Calibri"/>
        <family val="2"/>
      </rPr>
      <t xml:space="preserve">Memória de cálculo </t>
    </r>
    <r>
      <rPr>
        <b/>
        <sz val="10"/>
        <color rgb="FF000000"/>
        <rFont val="Calibri"/>
        <family val="2"/>
      </rPr>
      <t>vale alimentação/refeição</t>
    </r>
  </si>
  <si>
    <t>Vale alimentação/refeição</t>
  </si>
  <si>
    <t>Desconto do vale alimentação/refeição</t>
  </si>
  <si>
    <t>CUSTO EFETIVO DO VALE ALIMENTAÇÃO/REFEIÇÃO</t>
  </si>
  <si>
    <t>Memória de cálculo uniformes e EPI (entregar essa quantidade para cada funcionário)</t>
  </si>
  <si>
    <t>Quantidade</t>
  </si>
  <si>
    <t>Duração dos itens (meses)</t>
  </si>
  <si>
    <t>Valor total</t>
  </si>
  <si>
    <t>Custo mensal por pessoa</t>
  </si>
  <si>
    <t>23205.003378/2023-69</t>
  </si>
  <si>
    <t>Pregão Eletrônico nº 03/2023</t>
  </si>
  <si>
    <t xml:space="preserve"> VIGILÂNCIA ARMADA – NOTURNA</t>
  </si>
  <si>
    <t>Adicional de Férias</t>
  </si>
  <si>
    <t>SESC ou SESI</t>
  </si>
  <si>
    <t>SENAI – SENAC</t>
  </si>
  <si>
    <t>Materiais – Combustível</t>
  </si>
  <si>
    <t>Custo efetivo do vale transporte</t>
  </si>
  <si>
    <t>Custo efetivo do vale alimentação/refeição</t>
  </si>
  <si>
    <t>VIGILÂNCIA DESARMADA MOTORIZADA – DIURNA</t>
  </si>
  <si>
    <t>VIGILÂNCIA DESARMADA – DIURNA</t>
  </si>
  <si>
    <t>Outros (licença para uso motosserra)</t>
  </si>
  <si>
    <r>
      <rPr>
        <b/>
        <sz val="10"/>
        <rFont val="Calibri"/>
        <family val="2"/>
      </rPr>
      <t xml:space="preserve">Memória de cálculo </t>
    </r>
    <r>
      <rPr>
        <b/>
        <sz val="10"/>
        <color rgb="FF000000"/>
        <rFont val="Calibri"/>
        <family val="2"/>
      </rPr>
      <t>licença para uso da motosserra</t>
    </r>
  </si>
  <si>
    <t>Valor da licença</t>
  </si>
  <si>
    <t>Validade da licença (meses)</t>
  </si>
  <si>
    <t>Valor mensal</t>
  </si>
  <si>
    <t>Licença para porte e uso de motosserra (LPU)</t>
  </si>
  <si>
    <t>Memória de cálculo equipamentos (quantidade a ser entregue para todo o contrato)</t>
  </si>
  <si>
    <t>Vida útil (meses)</t>
  </si>
  <si>
    <t>Custo financeiro mensal</t>
  </si>
  <si>
    <t>Custo mensal total</t>
  </si>
  <si>
    <t>Quantidade de pessoas por posto</t>
  </si>
  <si>
    <t>Total de pessoas por posto</t>
  </si>
  <si>
    <t>VIGILÂNCIA ARMADA – NOTURNA</t>
  </si>
  <si>
    <t>Total de pessoas no contrato</t>
  </si>
  <si>
    <t>https://www.bcb.gov.br/htms/selic/selicdiarios.asp</t>
  </si>
  <si>
    <t>Taxa (% a.a.) em 09/02/2023</t>
  </si>
  <si>
    <t>Memória de cálculo combustível</t>
  </si>
  <si>
    <t>Quantidade de rondas por dia</t>
  </si>
  <si>
    <t>Quantidade de rondas no mês</t>
  </si>
  <si>
    <t>Quilometragem por ronda</t>
  </si>
  <si>
    <t>Quilometragem mensal</t>
  </si>
  <si>
    <t>Consumo médio motocicleta 150 cc (km/l)</t>
  </si>
  <si>
    <t>Quantidade de litros de combustível por mês</t>
  </si>
  <si>
    <t>Quantidade de postos motorizados</t>
  </si>
  <si>
    <t>RS003993/2021 + Aditivos</t>
  </si>
  <si>
    <t>RS004237/2021; RS002365/2022; RS000847/2022</t>
  </si>
  <si>
    <t>RAT:</t>
  </si>
  <si>
    <t>FAP:</t>
  </si>
  <si>
    <t>Ajustar o valor do FAP conforme FAP da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</si>
</sst>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 R$ &quot;* #,##0.00\ ;&quot;-R$ &quot;* #,##0.00\ ;&quot; R$ &quot;* \-#\ ;\ @\ "/>
    <numFmt numFmtId="165" formatCode="0.000%"/>
    <numFmt numFmtId="166" formatCode="dd/mm/yy"/>
    <numFmt numFmtId="167" formatCode="[$R$-416]\ #,##0.00;[Red]\-[$R$-416]\ #,##0.00"/>
    <numFmt numFmtId="168" formatCode="0.0000%"/>
    <numFmt numFmtId="169" formatCode="#,##0.0"/>
  </numFmts>
  <fonts count="18" x14ac:knownFonts="1">
    <font>
      <sz val="10"/>
      <name val="Arial"/>
      <family val="2"/>
    </font>
    <font>
      <b/>
      <sz val="24"/>
      <color rgb="FF000000"/>
      <name val="Arial"/>
      <family val="2"/>
    </font>
    <font>
      <b/>
      <i/>
      <u/>
      <sz val="10"/>
      <name val="Arial"/>
      <family val="2"/>
    </font>
    <font>
      <b/>
      <sz val="12"/>
      <name val="Arial"/>
      <family val="2"/>
    </font>
    <font>
      <sz val="10"/>
      <name val="Calibri"/>
      <family val="2"/>
    </font>
    <font>
      <b/>
      <sz val="12"/>
      <color rgb="FF000000"/>
      <name val="Calibri"/>
      <family val="2"/>
    </font>
    <font>
      <sz val="12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10"/>
      <name val="Calibri"/>
      <family val="2"/>
    </font>
    <font>
      <sz val="11"/>
      <color rgb="FF000000"/>
      <name val="Calibri"/>
      <family val="2"/>
    </font>
    <font>
      <b/>
      <sz val="10"/>
      <name val="Arial"/>
      <family val="2"/>
    </font>
    <font>
      <sz val="12"/>
      <color rgb="FF000000"/>
      <name val="Calibri"/>
      <family val="2"/>
    </font>
    <font>
      <b/>
      <sz val="9"/>
      <color rgb="FF000000"/>
      <name val="Arial"/>
      <family val="2"/>
    </font>
    <font>
      <sz val="9"/>
      <name val="Calibri"/>
      <family val="2"/>
    </font>
    <font>
      <sz val="10"/>
      <color rgb="FF0000FF"/>
      <name val="Calibri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99999"/>
        <bgColor rgb="FF808080"/>
      </patternFill>
    </fill>
    <fill>
      <patternFill patternType="solid">
        <fgColor rgb="FFFFFFFF"/>
        <bgColor rgb="FFFFFFCC"/>
      </patternFill>
    </fill>
    <fill>
      <patternFill patternType="solid">
        <fgColor rgb="FF77BC65"/>
        <bgColor rgb="FF999999"/>
      </patternFill>
    </fill>
    <fill>
      <patternFill patternType="solid">
        <fgColor rgb="FFB2B2B2"/>
        <bgColor rgb="FFBFBFBF"/>
      </patternFill>
    </fill>
    <fill>
      <patternFill patternType="solid">
        <fgColor rgb="FFBFBFBF"/>
        <bgColor rgb="FFB2B2B2"/>
      </patternFill>
    </fill>
    <fill>
      <patternFill patternType="solid">
        <fgColor rgb="FFFFFF00"/>
        <bgColor rgb="FFFFFF00"/>
      </patternFill>
    </fill>
    <fill>
      <patternFill patternType="solid">
        <fgColor rgb="FF333333"/>
        <bgColor rgb="FF333300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auto="1"/>
      </right>
      <top/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7" fillId="0" borderId="0" applyFont="0" applyBorder="0" applyAlignment="0" applyProtection="0"/>
    <xf numFmtId="0" fontId="1" fillId="0" borderId="0" applyBorder="0" applyAlignment="0" applyProtection="0"/>
    <xf numFmtId="0" fontId="2" fillId="0" borderId="0" applyBorder="0" applyAlignment="0" applyProtection="0"/>
    <xf numFmtId="0" fontId="11" fillId="0" borderId="0"/>
  </cellStyleXfs>
  <cellXfs count="14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vertical="center"/>
    </xf>
    <xf numFmtId="4" fontId="8" fillId="3" borderId="3" xfId="0" applyNumberFormat="1" applyFont="1" applyFill="1" applyBorder="1" applyAlignment="1">
      <alignment horizontal="center" vertical="center"/>
    </xf>
    <xf numFmtId="4" fontId="7" fillId="5" borderId="3" xfId="0" applyNumberFormat="1" applyFont="1" applyFill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wrapText="1"/>
    </xf>
    <xf numFmtId="0" fontId="12" fillId="0" borderId="0" xfId="0" applyFont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0" xfId="4" applyFont="1" applyBorder="1" applyAlignment="1">
      <alignment vertical="center"/>
    </xf>
    <xf numFmtId="0" fontId="4" fillId="0" borderId="0" xfId="4" applyFont="1" applyBorder="1" applyAlignment="1">
      <alignment horizontal="center" vertical="center"/>
    </xf>
    <xf numFmtId="4" fontId="4" fillId="0" borderId="0" xfId="4" applyNumberFormat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0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9" fontId="8" fillId="0" borderId="3" xfId="0" applyNumberFormat="1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center" vertical="center"/>
    </xf>
    <xf numFmtId="4" fontId="8" fillId="0" borderId="3" xfId="1" applyNumberFormat="1" applyFont="1" applyBorder="1" applyAlignment="1" applyProtection="1">
      <alignment horizontal="center" vertical="center"/>
    </xf>
    <xf numFmtId="10" fontId="7" fillId="0" borderId="3" xfId="0" applyNumberFormat="1" applyFont="1" applyBorder="1" applyAlignment="1">
      <alignment horizontal="center" vertical="center"/>
    </xf>
    <xf numFmtId="4" fontId="7" fillId="0" borderId="3" xfId="1" applyNumberFormat="1" applyFont="1" applyBorder="1" applyAlignment="1" applyProtection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vertical="center" wrapText="1"/>
    </xf>
    <xf numFmtId="4" fontId="6" fillId="0" borderId="0" xfId="0" applyNumberFormat="1" applyFont="1" applyAlignment="1">
      <alignment vertical="center"/>
    </xf>
    <xf numFmtId="0" fontId="4" fillId="0" borderId="0" xfId="0" applyFont="1"/>
    <xf numFmtId="0" fontId="8" fillId="3" borderId="3" xfId="0" applyFont="1" applyFill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10" fillId="6" borderId="3" xfId="4" applyFont="1" applyFill="1" applyBorder="1" applyAlignment="1">
      <alignment horizontal="center"/>
    </xf>
    <xf numFmtId="0" fontId="10" fillId="6" borderId="3" xfId="4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4" fontId="4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4" applyFont="1" applyBorder="1" applyAlignment="1">
      <alignment horizontal="center" vertical="center"/>
    </xf>
    <xf numFmtId="4" fontId="10" fillId="0" borderId="3" xfId="4" applyNumberFormat="1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10" fontId="4" fillId="0" borderId="3" xfId="4" applyNumberFormat="1" applyFont="1" applyBorder="1" applyAlignment="1">
      <alignment horizontal="center" vertical="center"/>
    </xf>
    <xf numFmtId="4" fontId="4" fillId="0" borderId="3" xfId="1" applyNumberFormat="1" applyFont="1" applyBorder="1" applyAlignment="1" applyProtection="1">
      <alignment horizontal="center" vertical="center"/>
    </xf>
    <xf numFmtId="4" fontId="10" fillId="0" borderId="3" xfId="1" applyNumberFormat="1" applyFont="1" applyBorder="1" applyAlignment="1" applyProtection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10" fontId="4" fillId="0" borderId="3" xfId="0" applyNumberFormat="1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4" fontId="10" fillId="7" borderId="3" xfId="0" applyNumberFormat="1" applyFont="1" applyFill="1" applyBorder="1" applyAlignment="1">
      <alignment horizontal="center" vertical="center"/>
    </xf>
    <xf numFmtId="4" fontId="4" fillId="0" borderId="3" xfId="4" applyNumberFormat="1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 wrapText="1"/>
    </xf>
    <xf numFmtId="4" fontId="4" fillId="0" borderId="3" xfId="1" applyNumberFormat="1" applyFont="1" applyBorder="1" applyAlignment="1" applyProtection="1">
      <alignment horizontal="center" vertical="center" wrapText="1"/>
    </xf>
    <xf numFmtId="4" fontId="4" fillId="0" borderId="3" xfId="4" applyNumberFormat="1" applyFont="1" applyBorder="1" applyAlignment="1">
      <alignment horizontal="center" vertical="center" wrapText="1"/>
    </xf>
    <xf numFmtId="3" fontId="4" fillId="0" borderId="3" xfId="4" applyNumberFormat="1" applyFont="1" applyBorder="1" applyAlignment="1">
      <alignment horizontal="center" vertical="center" wrapText="1"/>
    </xf>
    <xf numFmtId="4" fontId="10" fillId="7" borderId="3" xfId="1" applyNumberFormat="1" applyFont="1" applyFill="1" applyBorder="1" applyAlignment="1" applyProtection="1">
      <alignment horizontal="center" vertical="center" wrapText="1"/>
    </xf>
    <xf numFmtId="0" fontId="4" fillId="0" borderId="3" xfId="4" applyFont="1" applyBorder="1" applyAlignment="1">
      <alignment horizontal="center" vertical="center"/>
    </xf>
    <xf numFmtId="10" fontId="4" fillId="0" borderId="3" xfId="4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4" fillId="0" borderId="3" xfId="4" applyFont="1" applyBorder="1" applyAlignment="1">
      <alignment vertical="center"/>
    </xf>
    <xf numFmtId="167" fontId="4" fillId="0" borderId="3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/>
    </xf>
    <xf numFmtId="169" fontId="8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4" fillId="0" borderId="3" xfId="4" applyFont="1" applyBorder="1" applyAlignment="1">
      <alignment horizontal="right" vertical="center"/>
    </xf>
    <xf numFmtId="0" fontId="4" fillId="9" borderId="3" xfId="4" applyFont="1" applyFill="1" applyBorder="1" applyAlignment="1">
      <alignment horizontal="center" vertical="center"/>
    </xf>
    <xf numFmtId="10" fontId="4" fillId="0" borderId="3" xfId="4" applyNumberFormat="1" applyFont="1" applyFill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4" fontId="8" fillId="3" borderId="3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 wrapText="1"/>
    </xf>
    <xf numFmtId="4" fontId="7" fillId="5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6" borderId="3" xfId="4" applyFont="1" applyFill="1" applyBorder="1" applyAlignment="1">
      <alignment horizontal="center" vertical="center"/>
    </xf>
    <xf numFmtId="0" fontId="4" fillId="0" borderId="3" xfId="4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0" xfId="4" applyFont="1" applyBorder="1" applyAlignment="1">
      <alignment horizontal="center" vertical="center"/>
    </xf>
    <xf numFmtId="0" fontId="10" fillId="2" borderId="3" xfId="4" applyFont="1" applyFill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14" fontId="8" fillId="0" borderId="3" xfId="0" applyNumberFormat="1" applyFont="1" applyBorder="1" applyAlignment="1">
      <alignment horizontal="center" vertical="center"/>
    </xf>
    <xf numFmtId="0" fontId="4" fillId="0" borderId="3" xfId="4" applyFont="1" applyBorder="1" applyAlignment="1">
      <alignment horizontal="left" vertical="center"/>
    </xf>
    <xf numFmtId="0" fontId="4" fillId="0" borderId="3" xfId="4" applyFont="1" applyBorder="1" applyAlignment="1">
      <alignment horizontal="center" vertical="center" wrapText="1"/>
    </xf>
    <xf numFmtId="14" fontId="4" fillId="0" borderId="3" xfId="4" applyNumberFormat="1" applyFont="1" applyBorder="1" applyAlignment="1">
      <alignment horizontal="center" vertical="center"/>
    </xf>
    <xf numFmtId="3" fontId="4" fillId="0" borderId="3" xfId="4" applyNumberFormat="1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3" xfId="4" applyFont="1" applyBorder="1" applyAlignment="1">
      <alignment horizontal="left" vertical="center" wrapText="1"/>
    </xf>
    <xf numFmtId="0" fontId="10" fillId="0" borderId="3" xfId="4" applyFont="1" applyBorder="1" applyAlignment="1">
      <alignment horizontal="left" vertical="center" wrapText="1"/>
    </xf>
    <xf numFmtId="0" fontId="4" fillId="8" borderId="3" xfId="4" applyFont="1" applyFill="1" applyBorder="1" applyAlignment="1">
      <alignment horizontal="center" vertical="center"/>
    </xf>
    <xf numFmtId="0" fontId="10" fillId="0" borderId="3" xfId="4" applyFont="1" applyBorder="1" applyAlignment="1">
      <alignment horizontal="center" vertical="center"/>
    </xf>
    <xf numFmtId="4" fontId="4" fillId="0" borderId="3" xfId="4" applyNumberFormat="1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10" fontId="4" fillId="0" borderId="3" xfId="4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/>
    <xf numFmtId="0" fontId="7" fillId="2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4" fillId="0" borderId="0" xfId="4" applyFont="1" applyBorder="1" applyAlignment="1">
      <alignment vertical="center"/>
    </xf>
    <xf numFmtId="167" fontId="16" fillId="0" borderId="3" xfId="0" applyNumberFormat="1" applyFont="1" applyBorder="1" applyAlignment="1">
      <alignment horizontal="center" vertical="center" wrapText="1"/>
    </xf>
  </cellXfs>
  <cellStyles count="5">
    <cellStyle name="Excel Built-in Normal" xfId="4"/>
    <cellStyle name="Moeda" xfId="1" builtinId="4"/>
    <cellStyle name="Normal" xfId="0" builtinId="0"/>
    <cellStyle name="Resultado" xfId="3"/>
    <cellStyle name="Título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B2B2B2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7D1D5"/>
      <rgbColor rgb="FF3366FF"/>
      <rgbColor rgb="FF33CCCC"/>
      <rgbColor rgb="FF77BC65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bcb.gov.br/htms/selic/selicdiarios.asp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10"/>
  <sheetViews>
    <sheetView zoomScaleNormal="100" workbookViewId="0"/>
  </sheetViews>
  <sheetFormatPr defaultColWidth="0" defaultRowHeight="12.75" zeroHeight="1" x14ac:dyDescent="0.2"/>
  <cols>
    <col min="1" max="1" width="82.28515625" style="1" customWidth="1"/>
    <col min="2" max="2" width="0.5703125" style="2" customWidth="1"/>
    <col min="3" max="1023" width="11.5703125" style="2" hidden="1" customWidth="1"/>
    <col min="1024" max="16384" width="11.5703125" hidden="1"/>
  </cols>
  <sheetData>
    <row r="1" spans="1:1" ht="52.9" customHeight="1" x14ac:dyDescent="0.2">
      <c r="A1" s="41" t="s">
        <v>0</v>
      </c>
    </row>
    <row r="2" spans="1:1" x14ac:dyDescent="0.2">
      <c r="A2" s="42"/>
    </row>
    <row r="3" spans="1:1" x14ac:dyDescent="0.2">
      <c r="A3" s="42"/>
    </row>
    <row r="4" spans="1:1" x14ac:dyDescent="0.2">
      <c r="A4" s="42"/>
    </row>
    <row r="5" spans="1:1" x14ac:dyDescent="0.2">
      <c r="A5" s="42"/>
    </row>
    <row r="6" spans="1:1" x14ac:dyDescent="0.2">
      <c r="A6" s="42"/>
    </row>
    <row r="7" spans="1:1" x14ac:dyDescent="0.2">
      <c r="A7" s="42"/>
    </row>
    <row r="8" spans="1:1" x14ac:dyDescent="0.2">
      <c r="A8" s="42"/>
    </row>
    <row r="9" spans="1:1" x14ac:dyDescent="0.2">
      <c r="A9" s="42"/>
    </row>
    <row r="10" spans="1:1" x14ac:dyDescent="0.2">
      <c r="A10" s="42"/>
    </row>
  </sheetData>
  <printOptions horizontalCentered="1"/>
  <pageMargins left="0.39374999999999999" right="0.39374999999999999" top="0.39374999999999999" bottom="0.39374999999999999" header="0.51180555555555496" footer="0.51180555555555496"/>
  <pageSetup paperSize="9" fitToHeight="0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2"/>
  <sheetViews>
    <sheetView tabSelected="1" zoomScaleNormal="100" workbookViewId="0">
      <selection sqref="A1:I1"/>
    </sheetView>
  </sheetViews>
  <sheetFormatPr defaultColWidth="0" defaultRowHeight="12.75" zeroHeight="1" x14ac:dyDescent="0.2"/>
  <cols>
    <col min="1" max="1" width="7.7109375" style="3" customWidth="1"/>
    <col min="2" max="2" width="7.85546875" style="3" customWidth="1"/>
    <col min="3" max="3" width="14.42578125" style="3" customWidth="1"/>
    <col min="4" max="4" width="57.7109375" style="3" customWidth="1"/>
    <col min="5" max="5" width="11.140625" style="3" customWidth="1"/>
    <col min="6" max="6" width="16.42578125" style="4" customWidth="1"/>
    <col min="7" max="8" width="16.7109375" style="4" customWidth="1"/>
    <col min="9" max="9" width="19.7109375" style="4" customWidth="1"/>
    <col min="10" max="10" width="0.42578125" style="3" customWidth="1"/>
    <col min="11" max="11" width="11.5703125" style="3" hidden="1" customWidth="1"/>
    <col min="12" max="12" width="13.140625" style="3" hidden="1" customWidth="1"/>
    <col min="13" max="1024" width="11.5703125" style="3" hidden="1" customWidth="1"/>
    <col min="1025" max="16384" width="11.5703125" hidden="1"/>
  </cols>
  <sheetData>
    <row r="1" spans="1:1024" s="5" customFormat="1" ht="15.75" x14ac:dyDescent="0.2">
      <c r="A1" s="83" t="s">
        <v>1</v>
      </c>
      <c r="B1" s="84"/>
      <c r="C1" s="84"/>
      <c r="D1" s="84"/>
      <c r="E1" s="84"/>
      <c r="F1" s="84"/>
      <c r="G1" s="84"/>
      <c r="H1" s="84"/>
      <c r="I1" s="85"/>
      <c r="AMJ1" s="3"/>
    </row>
    <row r="2" spans="1:1024" s="5" customFormat="1" ht="15.75" x14ac:dyDescent="0.2">
      <c r="A2" s="86" t="s">
        <v>2</v>
      </c>
      <c r="B2" s="87"/>
      <c r="C2" s="87"/>
      <c r="D2" s="87"/>
      <c r="E2" s="87"/>
      <c r="F2" s="87"/>
      <c r="G2" s="87"/>
      <c r="H2" s="87"/>
      <c r="I2" s="88"/>
      <c r="AMJ2" s="3"/>
    </row>
    <row r="3" spans="1:1024" s="5" customFormat="1" ht="15.75" x14ac:dyDescent="0.2">
      <c r="A3" s="86" t="s">
        <v>3</v>
      </c>
      <c r="B3" s="87"/>
      <c r="C3" s="87"/>
      <c r="D3" s="87"/>
      <c r="E3" s="87"/>
      <c r="F3" s="87"/>
      <c r="G3" s="87"/>
      <c r="H3" s="87"/>
      <c r="I3" s="88"/>
      <c r="AMJ3" s="3"/>
    </row>
    <row r="4" spans="1:1024" s="5" customFormat="1" ht="15.75" x14ac:dyDescent="0.2">
      <c r="A4" s="86" t="s">
        <v>4</v>
      </c>
      <c r="B4" s="87"/>
      <c r="C4" s="87"/>
      <c r="D4" s="87"/>
      <c r="E4" s="87"/>
      <c r="F4" s="87"/>
      <c r="G4" s="87"/>
      <c r="H4" s="87"/>
      <c r="I4" s="88"/>
      <c r="AMJ4" s="3"/>
    </row>
    <row r="5" spans="1:1024" s="5" customFormat="1" ht="15.75" x14ac:dyDescent="0.2">
      <c r="A5" s="86" t="s">
        <v>5</v>
      </c>
      <c r="B5" s="87"/>
      <c r="C5" s="87"/>
      <c r="D5" s="87"/>
      <c r="E5" s="87"/>
      <c r="F5" s="87"/>
      <c r="G5" s="87"/>
      <c r="H5" s="87"/>
      <c r="I5" s="88"/>
      <c r="AMJ5" s="3"/>
    </row>
    <row r="6" spans="1:1024" x14ac:dyDescent="0.2">
      <c r="A6" s="89"/>
      <c r="B6" s="90"/>
      <c r="C6" s="90"/>
      <c r="D6" s="90"/>
      <c r="E6" s="90"/>
      <c r="F6" s="90"/>
      <c r="G6" s="90"/>
      <c r="H6" s="90"/>
      <c r="I6" s="91"/>
    </row>
    <row r="7" spans="1:1024" s="6" customFormat="1" x14ac:dyDescent="0.2">
      <c r="A7" s="92" t="s">
        <v>6</v>
      </c>
      <c r="B7" s="92"/>
      <c r="C7" s="93">
        <v>44967</v>
      </c>
      <c r="D7" s="93"/>
      <c r="E7" s="43" t="s">
        <v>7</v>
      </c>
      <c r="F7" s="94"/>
      <c r="G7" s="94"/>
      <c r="H7" s="25" t="s">
        <v>8</v>
      </c>
      <c r="I7" s="25"/>
    </row>
    <row r="8" spans="1:1024" s="6" customFormat="1" ht="16.350000000000001" customHeight="1" x14ac:dyDescent="0.2">
      <c r="A8" s="92" t="s">
        <v>9</v>
      </c>
      <c r="B8" s="92"/>
      <c r="C8" s="95"/>
      <c r="D8" s="95"/>
      <c r="E8" s="95"/>
      <c r="F8" s="95"/>
      <c r="G8" s="35" t="s">
        <v>10</v>
      </c>
      <c r="H8" s="94"/>
      <c r="I8" s="94"/>
    </row>
    <row r="9" spans="1:1024" s="6" customFormat="1" ht="16.350000000000001" customHeight="1" x14ac:dyDescent="0.2">
      <c r="A9" s="25" t="s">
        <v>11</v>
      </c>
      <c r="B9" s="95"/>
      <c r="C9" s="95"/>
      <c r="D9" s="95"/>
      <c r="E9" s="25" t="s">
        <v>12</v>
      </c>
      <c r="F9" s="94"/>
      <c r="G9" s="94"/>
      <c r="H9" s="94"/>
      <c r="I9" s="94"/>
    </row>
    <row r="10" spans="1:1024" s="6" customFormat="1" ht="16.350000000000001" customHeight="1" x14ac:dyDescent="0.2">
      <c r="A10" s="25" t="s">
        <v>13</v>
      </c>
      <c r="B10" s="95"/>
      <c r="C10" s="95"/>
      <c r="D10" s="95"/>
      <c r="E10" s="25" t="s">
        <v>14</v>
      </c>
      <c r="F10" s="26"/>
      <c r="G10" s="29" t="s">
        <v>15</v>
      </c>
      <c r="H10" s="95"/>
      <c r="I10" s="95"/>
    </row>
    <row r="11" spans="1:1024" x14ac:dyDescent="0.2">
      <c r="A11" s="96"/>
      <c r="B11" s="96"/>
      <c r="C11" s="96"/>
      <c r="D11" s="96"/>
      <c r="E11" s="96"/>
      <c r="F11" s="96"/>
      <c r="G11" s="96"/>
      <c r="H11" s="96"/>
      <c r="I11" s="96"/>
    </row>
    <row r="12" spans="1:1024" x14ac:dyDescent="0.2">
      <c r="A12" s="92" t="s">
        <v>16</v>
      </c>
      <c r="B12" s="92"/>
      <c r="C12" s="92"/>
      <c r="D12" s="92"/>
      <c r="E12" s="92"/>
      <c r="F12" s="92"/>
      <c r="G12" s="92"/>
      <c r="H12" s="92"/>
      <c r="I12" s="92"/>
    </row>
    <row r="13" spans="1:1024" ht="22.35" customHeight="1" x14ac:dyDescent="0.2">
      <c r="A13" s="7" t="s">
        <v>17</v>
      </c>
      <c r="B13" s="7" t="s">
        <v>18</v>
      </c>
      <c r="C13" s="7" t="s">
        <v>19</v>
      </c>
      <c r="D13" s="7" t="s">
        <v>20</v>
      </c>
      <c r="E13" s="8" t="s">
        <v>21</v>
      </c>
      <c r="F13" s="9" t="s">
        <v>22</v>
      </c>
      <c r="G13" s="9" t="s">
        <v>23</v>
      </c>
      <c r="H13" s="97" t="s">
        <v>24</v>
      </c>
      <c r="I13" s="97"/>
    </row>
    <row r="14" spans="1:1024" x14ac:dyDescent="0.2">
      <c r="A14" s="98">
        <v>1</v>
      </c>
      <c r="B14" s="10">
        <v>1</v>
      </c>
      <c r="C14" s="10">
        <v>3703001000023</v>
      </c>
      <c r="D14" s="11" t="s">
        <v>25</v>
      </c>
      <c r="E14" s="39">
        <f>'1'!G20</f>
        <v>1</v>
      </c>
      <c r="F14" s="12">
        <f>'1'!H127</f>
        <v>13196.599999999999</v>
      </c>
      <c r="G14" s="12">
        <f>E14*F14</f>
        <v>13196.599999999999</v>
      </c>
      <c r="H14" s="99">
        <f>E14*F14*12</f>
        <v>158359.19999999998</v>
      </c>
      <c r="I14" s="99"/>
    </row>
    <row r="15" spans="1:1024" x14ac:dyDescent="0.2">
      <c r="A15" s="98"/>
      <c r="B15" s="10">
        <v>2</v>
      </c>
      <c r="C15" s="10">
        <v>3703001000021</v>
      </c>
      <c r="D15" s="11" t="s">
        <v>26</v>
      </c>
      <c r="E15" s="39">
        <f>'2'!G20</f>
        <v>2</v>
      </c>
      <c r="F15" s="12">
        <f>'2'!H127</f>
        <v>12766.8</v>
      </c>
      <c r="G15" s="12">
        <f>E15*F15</f>
        <v>25533.599999999999</v>
      </c>
      <c r="H15" s="99">
        <f>E15*F15*12</f>
        <v>306403.19999999995</v>
      </c>
      <c r="I15" s="99"/>
    </row>
    <row r="16" spans="1:1024" x14ac:dyDescent="0.2">
      <c r="A16" s="98"/>
      <c r="B16" s="10">
        <v>3</v>
      </c>
      <c r="C16" s="10">
        <v>3703001000022</v>
      </c>
      <c r="D16" s="11" t="s">
        <v>27</v>
      </c>
      <c r="E16" s="39">
        <f>'3'!G20</f>
        <v>1</v>
      </c>
      <c r="F16" s="12">
        <f>'3'!H127</f>
        <v>11473.359999999999</v>
      </c>
      <c r="G16" s="12">
        <f>E16*F16</f>
        <v>11473.359999999999</v>
      </c>
      <c r="H16" s="99">
        <f>E16*F16*12</f>
        <v>137680.31999999998</v>
      </c>
      <c r="I16" s="99"/>
    </row>
    <row r="17" spans="1:12" x14ac:dyDescent="0.2">
      <c r="A17" s="98"/>
      <c r="B17" s="10">
        <v>4</v>
      </c>
      <c r="C17" s="10">
        <v>3703001000020</v>
      </c>
      <c r="D17" s="11" t="s">
        <v>28</v>
      </c>
      <c r="E17" s="39">
        <f>'4'!G20</f>
        <v>2</v>
      </c>
      <c r="F17" s="12">
        <f>'4'!H127</f>
        <v>11034.1</v>
      </c>
      <c r="G17" s="12">
        <f>E17*F17</f>
        <v>22068.2</v>
      </c>
      <c r="H17" s="99">
        <f>E17*F17*12</f>
        <v>264818.40000000002</v>
      </c>
      <c r="I17" s="99"/>
    </row>
    <row r="18" spans="1:12" ht="14.65" customHeight="1" x14ac:dyDescent="0.2">
      <c r="A18" s="102" t="s">
        <v>29</v>
      </c>
      <c r="B18" s="102"/>
      <c r="C18" s="102"/>
      <c r="D18" s="102"/>
      <c r="E18" s="102"/>
      <c r="F18" s="102"/>
      <c r="G18" s="13">
        <f>SUM(G14:G17)</f>
        <v>72271.759999999995</v>
      </c>
      <c r="H18" s="103">
        <f>SUM(H14:H17)</f>
        <v>867261.11999999988</v>
      </c>
      <c r="I18" s="103"/>
      <c r="L18" s="4"/>
    </row>
    <row r="19" spans="1:12" ht="64.7" customHeight="1" x14ac:dyDescent="0.2">
      <c r="A19" s="101"/>
      <c r="B19" s="101"/>
      <c r="C19" s="101"/>
      <c r="D19" s="101"/>
      <c r="E19" s="101"/>
      <c r="F19" s="101"/>
      <c r="G19" s="101"/>
      <c r="H19" s="101"/>
      <c r="I19" s="101"/>
    </row>
    <row r="20" spans="1:12" x14ac:dyDescent="0.2">
      <c r="A20" s="101"/>
      <c r="B20" s="101"/>
      <c r="C20" s="101"/>
      <c r="D20" s="104" t="s">
        <v>30</v>
      </c>
      <c r="E20" s="104"/>
      <c r="F20" s="104"/>
      <c r="G20" s="104"/>
      <c r="H20" s="104"/>
      <c r="I20" s="14"/>
    </row>
    <row r="21" spans="1:12" x14ac:dyDescent="0.2">
      <c r="A21" s="100"/>
      <c r="B21" s="100"/>
      <c r="C21" s="100"/>
      <c r="D21" s="100" t="s">
        <v>31</v>
      </c>
      <c r="E21" s="100"/>
      <c r="F21" s="100"/>
      <c r="G21" s="100"/>
      <c r="H21" s="100"/>
      <c r="I21" s="14"/>
    </row>
    <row r="22" spans="1:12" ht="56.65" hidden="1" customHeight="1" x14ac:dyDescent="0.2">
      <c r="A22" s="101"/>
      <c r="B22" s="101"/>
      <c r="C22" s="101"/>
      <c r="D22" s="101"/>
      <c r="E22" s="101"/>
      <c r="F22" s="101"/>
      <c r="G22" s="101"/>
      <c r="H22" s="101"/>
      <c r="I22" s="101"/>
    </row>
  </sheetData>
  <mergeCells count="32">
    <mergeCell ref="A21:C21"/>
    <mergeCell ref="D21:H21"/>
    <mergeCell ref="A22:I22"/>
    <mergeCell ref="A18:F18"/>
    <mergeCell ref="H18:I18"/>
    <mergeCell ref="A19:I19"/>
    <mergeCell ref="A20:C20"/>
    <mergeCell ref="D20:H20"/>
    <mergeCell ref="A12:I12"/>
    <mergeCell ref="H13:I13"/>
    <mergeCell ref="A14:A17"/>
    <mergeCell ref="H14:I14"/>
    <mergeCell ref="H15:I15"/>
    <mergeCell ref="H16:I16"/>
    <mergeCell ref="H17:I17"/>
    <mergeCell ref="B9:D9"/>
    <mergeCell ref="F9:I9"/>
    <mergeCell ref="B10:D10"/>
    <mergeCell ref="H10:I10"/>
    <mergeCell ref="A11:I11"/>
    <mergeCell ref="A6:I6"/>
    <mergeCell ref="A7:B7"/>
    <mergeCell ref="C7:D7"/>
    <mergeCell ref="F7:G7"/>
    <mergeCell ref="A8:B8"/>
    <mergeCell ref="C8:F8"/>
    <mergeCell ref="H8:I8"/>
    <mergeCell ref="A1:I1"/>
    <mergeCell ref="A2:I2"/>
    <mergeCell ref="A3:I3"/>
    <mergeCell ref="A4:I4"/>
    <mergeCell ref="A5:I5"/>
  </mergeCells>
  <printOptions horizontalCentered="1"/>
  <pageMargins left="0.39374999999999999" right="0.39374999999999999" top="0.39374999999999999" bottom="0.39374999999999999" header="0.51180555555555496" footer="0.51180555555555496"/>
  <pageSetup paperSize="9" scale="84" fitToHeight="0" orientation="landscape" useFirstPageNumber="1" horizontalDpi="300" verticalDpi="300" r:id="rId1"/>
  <rowBreaks count="1" manualBreakCount="1">
    <brk id="2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8"/>
  <sheetViews>
    <sheetView zoomScaleNormal="100" workbookViewId="0">
      <selection sqref="A1:E1"/>
    </sheetView>
  </sheetViews>
  <sheetFormatPr defaultColWidth="0" defaultRowHeight="12.75" zeroHeight="1" x14ac:dyDescent="0.2"/>
  <cols>
    <col min="1" max="1" width="8.140625" style="15" customWidth="1"/>
    <col min="2" max="2" width="16.42578125" style="15" customWidth="1"/>
    <col min="3" max="3" width="28.42578125" style="16" customWidth="1"/>
    <col min="4" max="4" width="70.85546875" style="17" customWidth="1"/>
    <col min="5" max="5" width="10.140625" customWidth="1"/>
    <col min="6" max="6" width="0.42578125" customWidth="1"/>
    <col min="7" max="16384" width="11.5703125" hidden="1"/>
  </cols>
  <sheetData>
    <row r="1" spans="1:1024" x14ac:dyDescent="0.2">
      <c r="A1" s="105" t="s">
        <v>32</v>
      </c>
      <c r="B1" s="105"/>
      <c r="C1" s="105"/>
      <c r="D1" s="105"/>
      <c r="E1" s="105"/>
      <c r="AMJ1" s="18"/>
    </row>
    <row r="2" spans="1:1024" x14ac:dyDescent="0.2">
      <c r="A2" s="44" t="s">
        <v>18</v>
      </c>
      <c r="B2" s="44" t="s">
        <v>17</v>
      </c>
      <c r="C2" s="44" t="s">
        <v>33</v>
      </c>
      <c r="D2" s="45" t="s">
        <v>34</v>
      </c>
      <c r="E2" s="44" t="s">
        <v>35</v>
      </c>
    </row>
    <row r="3" spans="1:1024" x14ac:dyDescent="0.2">
      <c r="A3" s="46">
        <v>1</v>
      </c>
      <c r="B3" s="46" t="s">
        <v>36</v>
      </c>
      <c r="C3" s="47" t="s">
        <v>37</v>
      </c>
      <c r="D3" s="48"/>
      <c r="E3" s="49">
        <v>25.96</v>
      </c>
      <c r="AMJ3" s="19"/>
    </row>
    <row r="4" spans="1:1024" x14ac:dyDescent="0.2">
      <c r="A4" s="46">
        <v>2</v>
      </c>
      <c r="B4" s="46" t="s">
        <v>36</v>
      </c>
      <c r="C4" s="47" t="s">
        <v>38</v>
      </c>
      <c r="D4" s="48"/>
      <c r="E4" s="49">
        <v>119.83</v>
      </c>
      <c r="AMJ4" s="19"/>
    </row>
    <row r="5" spans="1:1024" x14ac:dyDescent="0.2">
      <c r="A5" s="46">
        <v>3</v>
      </c>
      <c r="B5" s="46" t="s">
        <v>36</v>
      </c>
      <c r="C5" s="47" t="s">
        <v>39</v>
      </c>
      <c r="D5" s="48"/>
      <c r="E5" s="49">
        <v>93</v>
      </c>
    </row>
    <row r="6" spans="1:1024" x14ac:dyDescent="0.2">
      <c r="A6" s="46">
        <v>4</v>
      </c>
      <c r="B6" s="46" t="s">
        <v>36</v>
      </c>
      <c r="C6" s="47" t="s">
        <v>40</v>
      </c>
      <c r="D6" s="48"/>
      <c r="E6" s="49">
        <v>102.25</v>
      </c>
      <c r="AMJ6" s="19"/>
    </row>
    <row r="7" spans="1:1024" ht="25.5" x14ac:dyDescent="0.2">
      <c r="A7" s="46">
        <v>5</v>
      </c>
      <c r="B7" s="46" t="s">
        <v>41</v>
      </c>
      <c r="C7" s="47" t="s">
        <v>42</v>
      </c>
      <c r="D7" s="48" t="s">
        <v>43</v>
      </c>
      <c r="E7" s="49">
        <v>103.9</v>
      </c>
      <c r="AMJ7" s="19"/>
    </row>
    <row r="8" spans="1:1024" x14ac:dyDescent="0.2">
      <c r="A8" s="46">
        <v>6</v>
      </c>
      <c r="B8" s="46" t="s">
        <v>36</v>
      </c>
      <c r="C8" s="47" t="s">
        <v>44</v>
      </c>
      <c r="D8" s="48"/>
      <c r="E8" s="49">
        <v>285.75</v>
      </c>
    </row>
    <row r="9" spans="1:1024" x14ac:dyDescent="0.2">
      <c r="A9" s="46">
        <v>7</v>
      </c>
      <c r="B9" s="46" t="s">
        <v>41</v>
      </c>
      <c r="C9" s="47" t="s">
        <v>45</v>
      </c>
      <c r="D9" s="48" t="s">
        <v>46</v>
      </c>
      <c r="E9" s="49">
        <v>412.53</v>
      </c>
      <c r="AMJ9" s="19"/>
    </row>
    <row r="10" spans="1:1024" x14ac:dyDescent="0.2">
      <c r="A10" s="46">
        <v>8</v>
      </c>
      <c r="B10" s="46" t="s">
        <v>36</v>
      </c>
      <c r="C10" s="47" t="s">
        <v>47</v>
      </c>
      <c r="D10" s="48"/>
      <c r="E10" s="49">
        <v>26.07</v>
      </c>
    </row>
    <row r="11" spans="1:1024" ht="38.25" x14ac:dyDescent="0.2">
      <c r="A11" s="46">
        <v>9</v>
      </c>
      <c r="B11" s="46" t="s">
        <v>41</v>
      </c>
      <c r="C11" s="47" t="s">
        <v>48</v>
      </c>
      <c r="D11" s="48" t="s">
        <v>49</v>
      </c>
      <c r="E11" s="49">
        <v>319.5</v>
      </c>
    </row>
    <row r="12" spans="1:1024" x14ac:dyDescent="0.2">
      <c r="A12" s="46">
        <v>10</v>
      </c>
      <c r="B12" s="46" t="s">
        <v>41</v>
      </c>
      <c r="C12" s="47" t="s">
        <v>50</v>
      </c>
      <c r="D12" s="48"/>
      <c r="E12" s="49">
        <v>51.84</v>
      </c>
    </row>
    <row r="13" spans="1:1024" ht="25.5" x14ac:dyDescent="0.2">
      <c r="A13" s="46">
        <v>11</v>
      </c>
      <c r="B13" s="46" t="s">
        <v>41</v>
      </c>
      <c r="C13" s="47" t="s">
        <v>51</v>
      </c>
      <c r="D13" s="48" t="s">
        <v>52</v>
      </c>
      <c r="E13" s="49">
        <v>1354.51</v>
      </c>
    </row>
    <row r="14" spans="1:1024" x14ac:dyDescent="0.2">
      <c r="A14" s="46">
        <v>12</v>
      </c>
      <c r="B14" s="46" t="s">
        <v>36</v>
      </c>
      <c r="C14" s="47" t="s">
        <v>53</v>
      </c>
      <c r="D14" s="48"/>
      <c r="E14" s="49">
        <v>6.52</v>
      </c>
      <c r="AMJ14" s="19"/>
    </row>
    <row r="15" spans="1:1024" x14ac:dyDescent="0.2">
      <c r="A15" s="46">
        <v>13</v>
      </c>
      <c r="B15" s="46" t="s">
        <v>54</v>
      </c>
      <c r="C15" s="47" t="s">
        <v>55</v>
      </c>
      <c r="D15" s="48"/>
      <c r="E15" s="49">
        <v>5.64</v>
      </c>
      <c r="AMJ15" s="19"/>
    </row>
    <row r="16" spans="1:1024" x14ac:dyDescent="0.2">
      <c r="A16" s="46">
        <v>14</v>
      </c>
      <c r="B16" s="46" t="s">
        <v>41</v>
      </c>
      <c r="C16" s="47" t="s">
        <v>56</v>
      </c>
      <c r="D16" s="48" t="s">
        <v>57</v>
      </c>
      <c r="E16" s="49">
        <v>64.5</v>
      </c>
      <c r="AMJ16" s="19"/>
    </row>
    <row r="17" spans="1:1024" x14ac:dyDescent="0.2">
      <c r="A17" s="46">
        <v>15</v>
      </c>
      <c r="B17" s="46" t="s">
        <v>36</v>
      </c>
      <c r="C17" s="47" t="s">
        <v>58</v>
      </c>
      <c r="D17" s="48"/>
      <c r="E17" s="49">
        <v>173.03</v>
      </c>
      <c r="AMJ17" s="19"/>
    </row>
    <row r="18" spans="1:1024" ht="38.25" x14ac:dyDescent="0.2">
      <c r="A18" s="46">
        <v>16</v>
      </c>
      <c r="B18" s="46" t="s">
        <v>41</v>
      </c>
      <c r="C18" s="47" t="s">
        <v>59</v>
      </c>
      <c r="D18" s="48" t="s">
        <v>60</v>
      </c>
      <c r="E18" s="49">
        <v>63.7</v>
      </c>
    </row>
    <row r="19" spans="1:1024" ht="25.5" x14ac:dyDescent="0.2">
      <c r="A19" s="46">
        <v>17</v>
      </c>
      <c r="B19" s="46" t="s">
        <v>41</v>
      </c>
      <c r="C19" s="47" t="s">
        <v>61</v>
      </c>
      <c r="D19" s="48" t="s">
        <v>62</v>
      </c>
      <c r="E19" s="49">
        <v>15.16</v>
      </c>
    </row>
    <row r="20" spans="1:1024" ht="38.25" x14ac:dyDescent="0.2">
      <c r="A20" s="46">
        <v>18</v>
      </c>
      <c r="B20" s="46" t="s">
        <v>41</v>
      </c>
      <c r="C20" s="47" t="s">
        <v>63</v>
      </c>
      <c r="D20" s="48" t="s">
        <v>64</v>
      </c>
      <c r="E20" s="49">
        <v>17213.330000000002</v>
      </c>
    </row>
    <row r="21" spans="1:1024" x14ac:dyDescent="0.2">
      <c r="A21" s="46">
        <v>19</v>
      </c>
      <c r="B21" s="46" t="s">
        <v>41</v>
      </c>
      <c r="C21" s="47" t="s">
        <v>65</v>
      </c>
      <c r="D21" s="48" t="s">
        <v>66</v>
      </c>
      <c r="E21" s="49">
        <v>78.39</v>
      </c>
    </row>
    <row r="22" spans="1:1024" x14ac:dyDescent="0.2">
      <c r="A22" s="46">
        <v>20</v>
      </c>
      <c r="B22" s="46" t="s">
        <v>41</v>
      </c>
      <c r="C22" s="47" t="s">
        <v>67</v>
      </c>
      <c r="D22" s="48"/>
      <c r="E22" s="49">
        <v>28.14</v>
      </c>
      <c r="AMJ22" s="19"/>
    </row>
    <row r="23" spans="1:1024" x14ac:dyDescent="0.2">
      <c r="A23" s="46">
        <v>21</v>
      </c>
      <c r="B23" s="46" t="s">
        <v>36</v>
      </c>
      <c r="C23" s="47" t="s">
        <v>68</v>
      </c>
      <c r="D23" s="48"/>
      <c r="E23" s="49">
        <v>47.3</v>
      </c>
      <c r="AMJ23" s="19"/>
    </row>
    <row r="24" spans="1:1024" ht="38.25" x14ac:dyDescent="0.2">
      <c r="A24" s="46">
        <v>22</v>
      </c>
      <c r="B24" s="46" t="s">
        <v>41</v>
      </c>
      <c r="C24" s="47" t="s">
        <v>69</v>
      </c>
      <c r="D24" s="48" t="s">
        <v>70</v>
      </c>
      <c r="E24" s="49">
        <v>1074.9100000000001</v>
      </c>
    </row>
    <row r="25" spans="1:1024" x14ac:dyDescent="0.2">
      <c r="A25" s="46">
        <v>23</v>
      </c>
      <c r="B25" s="46" t="s">
        <v>41</v>
      </c>
      <c r="C25" s="47" t="s">
        <v>71</v>
      </c>
      <c r="D25" s="48"/>
      <c r="E25" s="49">
        <v>4487.47</v>
      </c>
    </row>
    <row r="26" spans="1:1024" x14ac:dyDescent="0.2">
      <c r="A26" s="46">
        <v>24</v>
      </c>
      <c r="B26" s="46" t="s">
        <v>36</v>
      </c>
      <c r="C26" s="47" t="s">
        <v>72</v>
      </c>
      <c r="D26" s="48" t="s">
        <v>73</v>
      </c>
      <c r="E26" s="49">
        <v>129.58000000000001</v>
      </c>
      <c r="AMJ26" s="19"/>
    </row>
    <row r="27" spans="1:1024" ht="51" x14ac:dyDescent="0.2">
      <c r="A27" s="46">
        <v>25</v>
      </c>
      <c r="B27" s="46" t="s">
        <v>41</v>
      </c>
      <c r="C27" s="47" t="s">
        <v>74</v>
      </c>
      <c r="D27" s="48" t="s">
        <v>75</v>
      </c>
      <c r="E27" s="49">
        <v>947.74</v>
      </c>
    </row>
    <row r="28" spans="1:1024" x14ac:dyDescent="0.2">
      <c r="A28" s="46">
        <v>26</v>
      </c>
      <c r="B28" s="46" t="s">
        <v>41</v>
      </c>
      <c r="C28" s="47" t="s">
        <v>76</v>
      </c>
      <c r="D28" s="48"/>
      <c r="E28" s="49">
        <v>24.94</v>
      </c>
      <c r="AMJ28" s="19"/>
    </row>
  </sheetData>
  <mergeCells count="1">
    <mergeCell ref="A1:E1"/>
  </mergeCells>
  <printOptions horizontalCentered="1"/>
  <pageMargins left="0.39374999999999999" right="0.39374999999999999" top="0.39374999999999999" bottom="0.39374999999999999" header="0.51180555555555496" footer="0.51180555555555496"/>
  <pageSetup paperSize="9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7BC65"/>
  </sheetPr>
  <dimension ref="A1:AG199"/>
  <sheetViews>
    <sheetView zoomScaleNormal="100" workbookViewId="0">
      <selection sqref="A1:H1"/>
    </sheetView>
  </sheetViews>
  <sheetFormatPr defaultColWidth="0" defaultRowHeight="12.75" zeroHeight="1" x14ac:dyDescent="0.2"/>
  <cols>
    <col min="1" max="1" width="5.5703125" style="20" customWidth="1"/>
    <col min="2" max="2" width="17.42578125" style="20" customWidth="1"/>
    <col min="3" max="3" width="19.5703125" style="20" customWidth="1"/>
    <col min="4" max="4" width="19.85546875" style="20" customWidth="1"/>
    <col min="5" max="5" width="16.42578125" style="20" customWidth="1"/>
    <col min="6" max="6" width="13.85546875" style="20" customWidth="1"/>
    <col min="7" max="7" width="14.7109375" style="21" customWidth="1"/>
    <col min="8" max="8" width="18.85546875" style="22" customWidth="1"/>
    <col min="9" max="9" width="51" style="23" customWidth="1"/>
    <col min="10" max="22" width="11.5703125" style="3" hidden="1" customWidth="1"/>
    <col min="23" max="1024" width="11.5703125" hidden="1" customWidth="1"/>
    <col min="1025" max="16384" width="11.5703125" hidden="1"/>
  </cols>
  <sheetData>
    <row r="1" spans="1:22" ht="15.75" x14ac:dyDescent="0.2">
      <c r="A1" s="107" t="s">
        <v>1</v>
      </c>
      <c r="B1" s="107"/>
      <c r="C1" s="107"/>
      <c r="D1" s="107"/>
      <c r="E1" s="107"/>
      <c r="F1" s="107"/>
      <c r="G1" s="107"/>
      <c r="H1" s="107"/>
      <c r="I1" s="2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2" ht="15.75" x14ac:dyDescent="0.2">
      <c r="A2" s="107" t="s">
        <v>2</v>
      </c>
      <c r="B2" s="107"/>
      <c r="C2" s="107"/>
      <c r="D2" s="107"/>
      <c r="E2" s="107"/>
      <c r="F2" s="107"/>
      <c r="G2" s="107"/>
      <c r="H2" s="107"/>
      <c r="I2" s="2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2" ht="15.75" x14ac:dyDescent="0.2">
      <c r="A3" s="107" t="s">
        <v>3</v>
      </c>
      <c r="B3" s="107"/>
      <c r="C3" s="107"/>
      <c r="D3" s="107"/>
      <c r="E3" s="107"/>
      <c r="F3" s="107"/>
      <c r="G3" s="107"/>
      <c r="H3" s="107"/>
      <c r="I3" s="2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ht="15.75" x14ac:dyDescent="0.2">
      <c r="A4" s="108"/>
      <c r="B4" s="108"/>
      <c r="C4" s="108"/>
      <c r="D4" s="108"/>
      <c r="E4" s="108"/>
      <c r="F4" s="108"/>
      <c r="G4" s="108"/>
      <c r="H4" s="108"/>
      <c r="I4" s="24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ht="15.75" x14ac:dyDescent="0.2">
      <c r="A5" s="107" t="s">
        <v>77</v>
      </c>
      <c r="B5" s="107"/>
      <c r="C5" s="107"/>
      <c r="D5" s="107"/>
      <c r="E5" s="107"/>
      <c r="F5" s="107"/>
      <c r="G5" s="107"/>
      <c r="H5" s="107"/>
      <c r="I5" s="24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spans="1:22" x14ac:dyDescent="0.2">
      <c r="A6" s="109" t="s">
        <v>78</v>
      </c>
      <c r="B6" s="109"/>
      <c r="C6" s="95" t="str">
        <f>'2'!C6</f>
        <v>23205.003378/2023-69</v>
      </c>
      <c r="D6" s="95"/>
      <c r="E6" s="95"/>
      <c r="F6" s="95"/>
      <c r="G6" s="95"/>
      <c r="H6" s="95"/>
    </row>
    <row r="7" spans="1:22" x14ac:dyDescent="0.2">
      <c r="A7" s="109" t="s">
        <v>79</v>
      </c>
      <c r="B7" s="109"/>
      <c r="C7" s="95" t="str">
        <f>'2'!C7</f>
        <v>Pregão Eletrônico nº 03/2023</v>
      </c>
      <c r="D7" s="95"/>
      <c r="E7" s="95"/>
      <c r="F7" s="95"/>
      <c r="G7" s="95"/>
      <c r="H7" s="95"/>
    </row>
    <row r="8" spans="1:22" x14ac:dyDescent="0.2">
      <c r="A8" s="110"/>
      <c r="B8" s="110"/>
      <c r="C8" s="110"/>
      <c r="D8" s="110"/>
      <c r="E8" s="110"/>
      <c r="F8" s="110"/>
      <c r="G8" s="110"/>
      <c r="H8" s="110"/>
    </row>
    <row r="9" spans="1:22" x14ac:dyDescent="0.2">
      <c r="A9" s="111" t="s">
        <v>80</v>
      </c>
      <c r="B9" s="111"/>
      <c r="C9" s="111"/>
      <c r="D9" s="111"/>
      <c r="E9" s="111"/>
      <c r="F9" s="111"/>
      <c r="G9" s="111"/>
      <c r="H9" s="111"/>
    </row>
    <row r="10" spans="1:22" x14ac:dyDescent="0.2">
      <c r="A10" s="25" t="s">
        <v>81</v>
      </c>
      <c r="B10" s="112" t="s">
        <v>82</v>
      </c>
      <c r="C10" s="112"/>
      <c r="D10" s="112"/>
      <c r="E10" s="95" t="s">
        <v>83</v>
      </c>
      <c r="F10" s="95"/>
      <c r="G10" s="95"/>
      <c r="H10" s="95"/>
    </row>
    <row r="11" spans="1:22" x14ac:dyDescent="0.2">
      <c r="A11" s="25" t="s">
        <v>84</v>
      </c>
      <c r="B11" s="112" t="s">
        <v>85</v>
      </c>
      <c r="C11" s="112"/>
      <c r="D11" s="112"/>
      <c r="E11" s="112"/>
      <c r="F11" s="112"/>
      <c r="G11" s="113">
        <f>Proposta!C7</f>
        <v>44967</v>
      </c>
      <c r="H11" s="113"/>
    </row>
    <row r="12" spans="1:22" x14ac:dyDescent="0.2">
      <c r="A12" s="25" t="s">
        <v>86</v>
      </c>
      <c r="B12" s="112" t="s">
        <v>87</v>
      </c>
      <c r="C12" s="112"/>
      <c r="D12" s="112"/>
      <c r="E12" s="112"/>
      <c r="F12" s="112"/>
      <c r="G12" s="95" t="s">
        <v>88</v>
      </c>
      <c r="H12" s="95"/>
    </row>
    <row r="13" spans="1:22" x14ac:dyDescent="0.2">
      <c r="A13" s="25" t="s">
        <v>89</v>
      </c>
      <c r="B13" s="112" t="s">
        <v>90</v>
      </c>
      <c r="C13" s="112"/>
      <c r="D13" s="112"/>
      <c r="E13" s="112"/>
      <c r="F13" s="112"/>
      <c r="G13" s="95" t="s">
        <v>91</v>
      </c>
      <c r="H13" s="95"/>
    </row>
    <row r="14" spans="1:22" x14ac:dyDescent="0.2">
      <c r="A14" s="25" t="s">
        <v>92</v>
      </c>
      <c r="B14" s="112" t="s">
        <v>93</v>
      </c>
      <c r="C14" s="112"/>
      <c r="D14" s="112"/>
      <c r="E14" s="112"/>
      <c r="F14" s="112"/>
      <c r="G14" s="95" t="s">
        <v>94</v>
      </c>
      <c r="H14" s="95"/>
    </row>
    <row r="15" spans="1:22" x14ac:dyDescent="0.2">
      <c r="A15" s="25" t="s">
        <v>95</v>
      </c>
      <c r="B15" s="112" t="s">
        <v>96</v>
      </c>
      <c r="C15" s="112"/>
      <c r="D15" s="112"/>
      <c r="E15" s="112"/>
      <c r="F15" s="112"/>
      <c r="G15" s="95" t="s">
        <v>275</v>
      </c>
      <c r="H15" s="95"/>
      <c r="I15" s="77" t="s">
        <v>276</v>
      </c>
    </row>
    <row r="16" spans="1:22" ht="14.65" customHeight="1" x14ac:dyDescent="0.2">
      <c r="A16" s="25" t="s">
        <v>97</v>
      </c>
      <c r="B16" s="114" t="s">
        <v>98</v>
      </c>
      <c r="C16" s="114"/>
      <c r="D16" s="114"/>
      <c r="E16" s="114"/>
      <c r="F16" s="114"/>
      <c r="G16" s="115" t="s">
        <v>99</v>
      </c>
      <c r="H16" s="115"/>
    </row>
    <row r="17" spans="1:32" x14ac:dyDescent="0.2">
      <c r="A17" s="25" t="s">
        <v>100</v>
      </c>
      <c r="B17" s="106" t="s">
        <v>101</v>
      </c>
      <c r="C17" s="106"/>
      <c r="D17" s="106"/>
      <c r="E17" s="106"/>
      <c r="F17" s="106"/>
      <c r="G17" s="116">
        <v>44593</v>
      </c>
      <c r="H17" s="116"/>
    </row>
    <row r="18" spans="1:32" x14ac:dyDescent="0.2">
      <c r="A18" s="25" t="s">
        <v>102</v>
      </c>
      <c r="B18" s="112" t="s">
        <v>103</v>
      </c>
      <c r="C18" s="112"/>
      <c r="D18" s="112"/>
      <c r="E18" s="112"/>
      <c r="F18" s="112"/>
      <c r="G18" s="95">
        <v>12</v>
      </c>
      <c r="H18" s="95">
        <v>30</v>
      </c>
    </row>
    <row r="19" spans="1:32" x14ac:dyDescent="0.2">
      <c r="A19" s="25" t="s">
        <v>104</v>
      </c>
      <c r="B19" s="112" t="s">
        <v>105</v>
      </c>
      <c r="C19" s="112"/>
      <c r="D19" s="112"/>
      <c r="E19" s="112"/>
      <c r="F19" s="112"/>
      <c r="G19" s="95" t="s">
        <v>106</v>
      </c>
      <c r="H19" s="95"/>
      <c r="R19"/>
      <c r="S19"/>
      <c r="T19"/>
      <c r="U19"/>
      <c r="V19"/>
    </row>
    <row r="20" spans="1:32" x14ac:dyDescent="0.2">
      <c r="A20" s="25" t="s">
        <v>107</v>
      </c>
      <c r="B20" s="112" t="s">
        <v>21</v>
      </c>
      <c r="C20" s="112"/>
      <c r="D20" s="112"/>
      <c r="E20" s="112"/>
      <c r="F20" s="112"/>
      <c r="G20" s="95">
        <v>1</v>
      </c>
      <c r="H20" s="95"/>
      <c r="R20"/>
      <c r="S20"/>
      <c r="T20"/>
      <c r="U20"/>
      <c r="V20"/>
    </row>
    <row r="21" spans="1:32" x14ac:dyDescent="0.2">
      <c r="A21" s="25" t="s">
        <v>108</v>
      </c>
      <c r="B21" s="114" t="s">
        <v>109</v>
      </c>
      <c r="C21" s="114"/>
      <c r="D21" s="114"/>
      <c r="E21" s="114"/>
      <c r="F21" s="114"/>
      <c r="G21" s="117">
        <v>2</v>
      </c>
      <c r="H21" s="117"/>
      <c r="R21"/>
      <c r="S21"/>
      <c r="T21"/>
      <c r="U21"/>
      <c r="V21"/>
    </row>
    <row r="22" spans="1:32" x14ac:dyDescent="0.2">
      <c r="A22" s="118"/>
      <c r="B22" s="118"/>
      <c r="C22" s="118"/>
      <c r="D22" s="118"/>
      <c r="E22" s="118"/>
      <c r="F22" s="118"/>
      <c r="G22" s="118"/>
      <c r="H22" s="118"/>
      <c r="R22"/>
      <c r="S22"/>
      <c r="T22"/>
      <c r="U22"/>
      <c r="V22"/>
    </row>
    <row r="23" spans="1:32" x14ac:dyDescent="0.2">
      <c r="A23" s="119" t="s">
        <v>110</v>
      </c>
      <c r="B23" s="119"/>
      <c r="C23" s="119"/>
      <c r="D23" s="119"/>
      <c r="E23" s="119"/>
      <c r="F23" s="119"/>
      <c r="G23" s="119"/>
      <c r="H23" s="119"/>
      <c r="R23"/>
      <c r="S23"/>
      <c r="T23"/>
      <c r="U23"/>
      <c r="V23"/>
    </row>
    <row r="24" spans="1:32" x14ac:dyDescent="0.2">
      <c r="A24" s="50" t="s">
        <v>111</v>
      </c>
      <c r="B24" s="109" t="s">
        <v>112</v>
      </c>
      <c r="C24" s="109"/>
      <c r="D24" s="109"/>
      <c r="E24" s="109"/>
      <c r="F24" s="109"/>
      <c r="G24" s="51" t="s">
        <v>113</v>
      </c>
      <c r="H24" s="52" t="s">
        <v>114</v>
      </c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x14ac:dyDescent="0.2">
      <c r="A25" s="53" t="s">
        <v>81</v>
      </c>
      <c r="B25" s="106" t="s">
        <v>115</v>
      </c>
      <c r="C25" s="106"/>
      <c r="D25" s="106"/>
      <c r="E25" s="106"/>
      <c r="F25" s="106"/>
      <c r="G25" s="54"/>
      <c r="H25" s="55">
        <v>1764.4</v>
      </c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x14ac:dyDescent="0.2">
      <c r="A26" s="53" t="s">
        <v>84</v>
      </c>
      <c r="B26" s="106" t="s">
        <v>116</v>
      </c>
      <c r="C26" s="106"/>
      <c r="D26" s="106"/>
      <c r="E26" s="106"/>
      <c r="F26" s="106"/>
      <c r="G26" s="54">
        <v>0.3</v>
      </c>
      <c r="H26" s="55">
        <f>H25*G26</f>
        <v>529.32000000000005</v>
      </c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x14ac:dyDescent="0.2">
      <c r="A27" s="53" t="s">
        <v>86</v>
      </c>
      <c r="B27" s="106" t="s">
        <v>117</v>
      </c>
      <c r="C27" s="106"/>
      <c r="D27" s="106"/>
      <c r="E27" s="106"/>
      <c r="F27" s="106"/>
      <c r="G27" s="71">
        <v>0.2</v>
      </c>
      <c r="H27" s="55">
        <f>((H25+H26)/220*G27)*7*15</f>
        <v>218.94600000000003</v>
      </c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x14ac:dyDescent="0.2">
      <c r="A28" s="53" t="s">
        <v>89</v>
      </c>
      <c r="B28" s="106" t="s">
        <v>118</v>
      </c>
      <c r="C28" s="106"/>
      <c r="D28" s="106"/>
      <c r="E28" s="106"/>
      <c r="F28" s="106"/>
      <c r="G28" s="54"/>
      <c r="H28" s="55">
        <f>((H25+H26)/220)*1.2*15</f>
        <v>187.66800000000003</v>
      </c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x14ac:dyDescent="0.2">
      <c r="A29" s="109" t="s">
        <v>120</v>
      </c>
      <c r="B29" s="109"/>
      <c r="C29" s="109"/>
      <c r="D29" s="109"/>
      <c r="E29" s="109"/>
      <c r="F29" s="109"/>
      <c r="G29" s="109"/>
      <c r="H29" s="56">
        <f>SUM(H25:H28)</f>
        <v>2700.3340000000003</v>
      </c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x14ac:dyDescent="0.2">
      <c r="A30" s="118"/>
      <c r="B30" s="118"/>
      <c r="C30" s="118"/>
      <c r="D30" s="118"/>
      <c r="E30" s="118"/>
      <c r="F30" s="118"/>
      <c r="G30" s="118"/>
      <c r="H30" s="118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x14ac:dyDescent="0.2">
      <c r="A31" s="57" t="s">
        <v>121</v>
      </c>
      <c r="B31" s="109" t="s">
        <v>122</v>
      </c>
      <c r="C31" s="109"/>
      <c r="D31" s="109"/>
      <c r="E31" s="109"/>
      <c r="F31" s="109"/>
      <c r="G31" s="109"/>
      <c r="H31" s="52" t="s">
        <v>114</v>
      </c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x14ac:dyDescent="0.2">
      <c r="A32" s="70" t="s">
        <v>92</v>
      </c>
      <c r="B32" s="106" t="s">
        <v>123</v>
      </c>
      <c r="C32" s="106"/>
      <c r="D32" s="106"/>
      <c r="E32" s="106"/>
      <c r="F32" s="106"/>
      <c r="G32" s="106"/>
      <c r="H32" s="55">
        <f>(H25/220)*1.5*15</f>
        <v>180.45</v>
      </c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x14ac:dyDescent="0.2">
      <c r="A33" s="53" t="s">
        <v>95</v>
      </c>
      <c r="B33" s="106" t="s">
        <v>119</v>
      </c>
      <c r="C33" s="106"/>
      <c r="D33" s="106"/>
      <c r="E33" s="106"/>
      <c r="F33" s="106"/>
      <c r="G33" s="106"/>
      <c r="H33" s="55">
        <f>1.34*15</f>
        <v>20.100000000000001</v>
      </c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x14ac:dyDescent="0.2">
      <c r="A34" s="109" t="s">
        <v>124</v>
      </c>
      <c r="B34" s="109"/>
      <c r="C34" s="109"/>
      <c r="D34" s="109"/>
      <c r="E34" s="109"/>
      <c r="F34" s="109"/>
      <c r="G34" s="109"/>
      <c r="H34" s="56">
        <f>SUM(H32:H33)</f>
        <v>200.54999999999998</v>
      </c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x14ac:dyDescent="0.2">
      <c r="A35" s="118"/>
      <c r="B35" s="118"/>
      <c r="C35" s="118"/>
      <c r="D35" s="118"/>
      <c r="E35" s="118"/>
      <c r="F35" s="118"/>
      <c r="G35" s="118"/>
      <c r="H35" s="118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x14ac:dyDescent="0.2">
      <c r="A36" s="109" t="s">
        <v>125</v>
      </c>
      <c r="B36" s="109"/>
      <c r="C36" s="109"/>
      <c r="D36" s="109"/>
      <c r="E36" s="109"/>
      <c r="F36" s="109"/>
      <c r="G36" s="109"/>
      <c r="H36" s="56">
        <f>SUM(H29,H34)</f>
        <v>2900.8840000000005</v>
      </c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x14ac:dyDescent="0.2">
      <c r="A37" s="118"/>
      <c r="B37" s="118"/>
      <c r="C37" s="118"/>
      <c r="D37" s="118"/>
      <c r="E37" s="118"/>
      <c r="F37" s="118"/>
      <c r="G37" s="118"/>
      <c r="H37" s="118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1:32" x14ac:dyDescent="0.2">
      <c r="A38" s="120" t="s">
        <v>126</v>
      </c>
      <c r="B38" s="120"/>
      <c r="C38" s="120"/>
      <c r="D38" s="120"/>
      <c r="E38" s="120"/>
      <c r="F38" s="120"/>
      <c r="G38" s="120"/>
      <c r="H38" s="120"/>
      <c r="R38"/>
      <c r="S38"/>
      <c r="T38"/>
      <c r="U38"/>
      <c r="V38"/>
    </row>
    <row r="39" spans="1:32" x14ac:dyDescent="0.2">
      <c r="A39" s="50" t="s">
        <v>127</v>
      </c>
      <c r="B39" s="109" t="s">
        <v>128</v>
      </c>
      <c r="C39" s="109"/>
      <c r="D39" s="109"/>
      <c r="E39" s="109"/>
      <c r="F39" s="109"/>
      <c r="G39" s="50" t="s">
        <v>129</v>
      </c>
      <c r="H39" s="58" t="s">
        <v>114</v>
      </c>
      <c r="R39"/>
      <c r="S39"/>
      <c r="T39"/>
      <c r="U39"/>
      <c r="V39"/>
    </row>
    <row r="40" spans="1:32" ht="14.65" customHeight="1" x14ac:dyDescent="0.2">
      <c r="A40" s="59" t="s">
        <v>81</v>
      </c>
      <c r="B40" s="121" t="s">
        <v>130</v>
      </c>
      <c r="C40" s="121"/>
      <c r="D40" s="121"/>
      <c r="E40" s="121"/>
      <c r="F40" s="121"/>
      <c r="G40" s="27">
        <f>1/12</f>
        <v>8.3333333333333329E-2</v>
      </c>
      <c r="H40" s="28">
        <f>H29*G40</f>
        <v>225.02783333333335</v>
      </c>
      <c r="R40"/>
      <c r="S40"/>
      <c r="T40"/>
      <c r="U40"/>
      <c r="V40"/>
    </row>
    <row r="41" spans="1:32" ht="14.65" customHeight="1" x14ac:dyDescent="0.2">
      <c r="A41" s="59" t="s">
        <v>84</v>
      </c>
      <c r="B41" s="121" t="s">
        <v>131</v>
      </c>
      <c r="C41" s="121"/>
      <c r="D41" s="121"/>
      <c r="E41" s="121"/>
      <c r="F41" s="121"/>
      <c r="G41" s="78">
        <v>3.0249999999999999E-2</v>
      </c>
      <c r="H41" s="28">
        <f>H29*G41</f>
        <v>81.685103500000011</v>
      </c>
      <c r="R41"/>
      <c r="S41"/>
      <c r="T41"/>
      <c r="U41"/>
      <c r="V41"/>
    </row>
    <row r="42" spans="1:32" x14ac:dyDescent="0.2">
      <c r="A42" s="109" t="s">
        <v>132</v>
      </c>
      <c r="B42" s="109"/>
      <c r="C42" s="109"/>
      <c r="D42" s="109"/>
      <c r="E42" s="109"/>
      <c r="F42" s="109"/>
      <c r="G42" s="109"/>
      <c r="H42" s="58">
        <f>SUM(H40:H41)</f>
        <v>306.71293683333334</v>
      </c>
      <c r="R42"/>
      <c r="S42"/>
      <c r="T42"/>
      <c r="U42"/>
      <c r="V42"/>
    </row>
    <row r="43" spans="1:32" x14ac:dyDescent="0.2">
      <c r="A43" s="122"/>
      <c r="B43" s="122"/>
      <c r="C43" s="122"/>
      <c r="D43" s="122"/>
      <c r="E43" s="122"/>
      <c r="F43" s="122"/>
      <c r="G43" s="122"/>
      <c r="H43" s="122"/>
      <c r="R43"/>
      <c r="S43"/>
      <c r="T43"/>
      <c r="U43"/>
      <c r="V43"/>
    </row>
    <row r="44" spans="1:32" x14ac:dyDescent="0.2">
      <c r="A44" s="109" t="s">
        <v>133</v>
      </c>
      <c r="B44" s="109"/>
      <c r="C44" s="109"/>
      <c r="D44" s="109"/>
      <c r="E44" s="109"/>
      <c r="F44" s="109"/>
      <c r="G44" s="109"/>
      <c r="H44" s="55">
        <f>SUM(H29,H42)</f>
        <v>3007.0469368333338</v>
      </c>
      <c r="R44"/>
      <c r="S44"/>
      <c r="T44"/>
      <c r="U44"/>
      <c r="V44"/>
    </row>
    <row r="45" spans="1:32" x14ac:dyDescent="0.2">
      <c r="A45" s="57" t="s">
        <v>134</v>
      </c>
      <c r="B45" s="109" t="s">
        <v>135</v>
      </c>
      <c r="C45" s="109"/>
      <c r="D45" s="109"/>
      <c r="E45" s="109"/>
      <c r="F45" s="109"/>
      <c r="G45" s="50" t="s">
        <v>136</v>
      </c>
      <c r="H45" s="58" t="s">
        <v>114</v>
      </c>
      <c r="R45"/>
      <c r="S45"/>
      <c r="T45"/>
      <c r="U45"/>
      <c r="V45"/>
    </row>
    <row r="46" spans="1:32" x14ac:dyDescent="0.2">
      <c r="A46" s="53" t="s">
        <v>81</v>
      </c>
      <c r="B46" s="106" t="s">
        <v>137</v>
      </c>
      <c r="C46" s="106"/>
      <c r="D46" s="106"/>
      <c r="E46" s="106"/>
      <c r="F46" s="106"/>
      <c r="G46" s="54">
        <v>0.2</v>
      </c>
      <c r="H46" s="55">
        <f t="shared" ref="H46:H53" si="0">$H$44*G46</f>
        <v>601.40938736666681</v>
      </c>
      <c r="R46"/>
      <c r="S46"/>
      <c r="T46"/>
      <c r="U46"/>
      <c r="V46"/>
    </row>
    <row r="47" spans="1:32" x14ac:dyDescent="0.2">
      <c r="A47" s="53" t="s">
        <v>84</v>
      </c>
      <c r="B47" s="106" t="s">
        <v>138</v>
      </c>
      <c r="C47" s="106"/>
      <c r="D47" s="106"/>
      <c r="E47" s="106"/>
      <c r="F47" s="106"/>
      <c r="G47" s="54">
        <v>2.5000000000000001E-2</v>
      </c>
      <c r="H47" s="55">
        <f t="shared" si="0"/>
        <v>75.176173420833351</v>
      </c>
      <c r="R47"/>
      <c r="S47"/>
      <c r="T47"/>
      <c r="U47"/>
      <c r="V47"/>
    </row>
    <row r="48" spans="1:32" x14ac:dyDescent="0.2">
      <c r="A48" s="53" t="s">
        <v>86</v>
      </c>
      <c r="B48" s="73" t="s">
        <v>139</v>
      </c>
      <c r="C48" s="79" t="s">
        <v>277</v>
      </c>
      <c r="D48" s="70">
        <v>3</v>
      </c>
      <c r="E48" s="79" t="s">
        <v>278</v>
      </c>
      <c r="F48" s="80">
        <v>1</v>
      </c>
      <c r="G48" s="81">
        <f>D48*F48/100</f>
        <v>0.03</v>
      </c>
      <c r="H48" s="55">
        <f t="shared" si="0"/>
        <v>90.211408105000004</v>
      </c>
      <c r="I48" s="23" t="s">
        <v>279</v>
      </c>
      <c r="R48"/>
      <c r="S48"/>
      <c r="T48"/>
      <c r="U48"/>
      <c r="V48"/>
    </row>
    <row r="49" spans="1:33" x14ac:dyDescent="0.2">
      <c r="A49" s="53" t="s">
        <v>89</v>
      </c>
      <c r="B49" s="106" t="s">
        <v>140</v>
      </c>
      <c r="C49" s="106"/>
      <c r="D49" s="106"/>
      <c r="E49" s="106"/>
      <c r="F49" s="106"/>
      <c r="G49" s="54">
        <v>1.4999999999999999E-2</v>
      </c>
      <c r="H49" s="55">
        <f t="shared" si="0"/>
        <v>45.105704052500002</v>
      </c>
      <c r="R49"/>
      <c r="S49"/>
      <c r="T49"/>
      <c r="U49"/>
      <c r="V49"/>
    </row>
    <row r="50" spans="1:33" x14ac:dyDescent="0.2">
      <c r="A50" s="53" t="s">
        <v>92</v>
      </c>
      <c r="B50" s="106" t="s">
        <v>141</v>
      </c>
      <c r="C50" s="106"/>
      <c r="D50" s="106"/>
      <c r="E50" s="106"/>
      <c r="F50" s="106"/>
      <c r="G50" s="54">
        <v>0.01</v>
      </c>
      <c r="H50" s="55">
        <f t="shared" si="0"/>
        <v>30.070469368333338</v>
      </c>
      <c r="R50"/>
      <c r="S50"/>
      <c r="T50"/>
      <c r="U50"/>
      <c r="V50"/>
    </row>
    <row r="51" spans="1:33" x14ac:dyDescent="0.2">
      <c r="A51" s="53" t="s">
        <v>95</v>
      </c>
      <c r="B51" s="106" t="s">
        <v>142</v>
      </c>
      <c r="C51" s="106"/>
      <c r="D51" s="106"/>
      <c r="E51" s="106"/>
      <c r="F51" s="106"/>
      <c r="G51" s="54">
        <v>6.0000000000000001E-3</v>
      </c>
      <c r="H51" s="55">
        <f t="shared" si="0"/>
        <v>18.042281621000004</v>
      </c>
      <c r="R51"/>
      <c r="S51"/>
      <c r="T51"/>
      <c r="U51"/>
      <c r="V51"/>
    </row>
    <row r="52" spans="1:33" x14ac:dyDescent="0.2">
      <c r="A52" s="53" t="s">
        <v>97</v>
      </c>
      <c r="B52" s="106" t="s">
        <v>143</v>
      </c>
      <c r="C52" s="106"/>
      <c r="D52" s="106"/>
      <c r="E52" s="106"/>
      <c r="F52" s="106"/>
      <c r="G52" s="54">
        <v>2E-3</v>
      </c>
      <c r="H52" s="55">
        <f t="shared" si="0"/>
        <v>6.0140938736666678</v>
      </c>
      <c r="R52"/>
      <c r="S52"/>
      <c r="T52"/>
      <c r="U52"/>
      <c r="V52"/>
    </row>
    <row r="53" spans="1:33" x14ac:dyDescent="0.2">
      <c r="A53" s="53" t="s">
        <v>100</v>
      </c>
      <c r="B53" s="106" t="s">
        <v>144</v>
      </c>
      <c r="C53" s="106"/>
      <c r="D53" s="106"/>
      <c r="E53" s="106"/>
      <c r="F53" s="106"/>
      <c r="G53" s="54">
        <v>0.08</v>
      </c>
      <c r="H53" s="55">
        <f t="shared" si="0"/>
        <v>240.56375494666671</v>
      </c>
      <c r="R53"/>
      <c r="S53"/>
      <c r="T53"/>
      <c r="U53"/>
      <c r="V53"/>
    </row>
    <row r="54" spans="1:33" x14ac:dyDescent="0.2">
      <c r="A54" s="109" t="s">
        <v>145</v>
      </c>
      <c r="B54" s="109"/>
      <c r="C54" s="109"/>
      <c r="D54" s="109"/>
      <c r="E54" s="109"/>
      <c r="F54" s="109"/>
      <c r="G54" s="60">
        <f>SUM(G46:G53)</f>
        <v>0.36800000000000005</v>
      </c>
      <c r="H54" s="56">
        <f>SUM(H46:H53)</f>
        <v>1106.5932727546669</v>
      </c>
      <c r="R54"/>
      <c r="S54"/>
      <c r="T54"/>
      <c r="U54"/>
      <c r="V54"/>
    </row>
    <row r="55" spans="1:33" x14ac:dyDescent="0.2">
      <c r="A55" s="122"/>
      <c r="B55" s="122"/>
      <c r="C55" s="122"/>
      <c r="D55" s="122"/>
      <c r="E55" s="122"/>
      <c r="F55" s="122"/>
      <c r="G55" s="122"/>
      <c r="H55" s="122"/>
      <c r="R55"/>
      <c r="S55"/>
      <c r="T55"/>
      <c r="U55"/>
      <c r="V55"/>
    </row>
    <row r="56" spans="1:33" x14ac:dyDescent="0.2">
      <c r="A56" s="57" t="s">
        <v>146</v>
      </c>
      <c r="B56" s="109" t="s">
        <v>147</v>
      </c>
      <c r="C56" s="109"/>
      <c r="D56" s="109"/>
      <c r="E56" s="109"/>
      <c r="F56" s="109"/>
      <c r="G56" s="109"/>
      <c r="H56" s="58" t="s">
        <v>114</v>
      </c>
      <c r="R56"/>
      <c r="S56"/>
      <c r="T56"/>
      <c r="U56"/>
      <c r="V56"/>
    </row>
    <row r="57" spans="1:33" x14ac:dyDescent="0.2">
      <c r="A57" s="59" t="s">
        <v>81</v>
      </c>
      <c r="B57" s="106" t="s">
        <v>148</v>
      </c>
      <c r="C57" s="106"/>
      <c r="D57" s="106"/>
      <c r="E57" s="106"/>
      <c r="F57" s="106"/>
      <c r="G57" s="106"/>
      <c r="H57" s="55">
        <f>H144</f>
        <v>0</v>
      </c>
      <c r="R57"/>
      <c r="S57"/>
      <c r="T57"/>
      <c r="U57"/>
      <c r="V57"/>
    </row>
    <row r="58" spans="1:33" x14ac:dyDescent="0.2">
      <c r="A58" s="59" t="s">
        <v>84</v>
      </c>
      <c r="B58" s="106" t="s">
        <v>149</v>
      </c>
      <c r="C58" s="106"/>
      <c r="D58" s="106"/>
      <c r="E58" s="106"/>
      <c r="F58" s="106"/>
      <c r="G58" s="106"/>
      <c r="H58" s="55">
        <f>H155</f>
        <v>287.16000000000003</v>
      </c>
      <c r="R58"/>
      <c r="S58"/>
      <c r="T58"/>
      <c r="U58"/>
      <c r="V58"/>
    </row>
    <row r="59" spans="1:33" x14ac:dyDescent="0.2">
      <c r="A59" s="59" t="s">
        <v>86</v>
      </c>
      <c r="B59" s="106" t="s">
        <v>150</v>
      </c>
      <c r="C59" s="106"/>
      <c r="D59" s="106"/>
      <c r="E59" s="106"/>
      <c r="F59" s="106"/>
      <c r="G59" s="106"/>
      <c r="H59" s="55">
        <v>0</v>
      </c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">
      <c r="A60" s="109" t="s">
        <v>151</v>
      </c>
      <c r="B60" s="109"/>
      <c r="C60" s="109"/>
      <c r="D60" s="109"/>
      <c r="E60" s="109"/>
      <c r="F60" s="109"/>
      <c r="G60" s="109"/>
      <c r="H60" s="56">
        <f>SUM(H57:H59)</f>
        <v>287.16000000000003</v>
      </c>
      <c r="R60"/>
      <c r="S60"/>
      <c r="T60"/>
      <c r="U60"/>
      <c r="V60"/>
    </row>
    <row r="61" spans="1:33" x14ac:dyDescent="0.2">
      <c r="A61" s="123"/>
      <c r="B61" s="123"/>
      <c r="C61" s="123"/>
      <c r="D61" s="123"/>
      <c r="E61" s="123"/>
      <c r="F61" s="123"/>
      <c r="G61" s="123"/>
      <c r="H61" s="123"/>
      <c r="R61"/>
      <c r="S61"/>
      <c r="T61"/>
      <c r="U61"/>
      <c r="V61"/>
    </row>
    <row r="62" spans="1:33" x14ac:dyDescent="0.2">
      <c r="A62" s="120" t="s">
        <v>152</v>
      </c>
      <c r="B62" s="120"/>
      <c r="C62" s="120"/>
      <c r="D62" s="120"/>
      <c r="E62" s="120"/>
      <c r="F62" s="120"/>
      <c r="G62" s="120"/>
      <c r="H62" s="120"/>
      <c r="R62"/>
      <c r="S62"/>
      <c r="T62"/>
      <c r="U62"/>
      <c r="V62"/>
    </row>
    <row r="63" spans="1:33" x14ac:dyDescent="0.2">
      <c r="A63" s="53" t="s">
        <v>127</v>
      </c>
      <c r="B63" s="106" t="s">
        <v>153</v>
      </c>
      <c r="C63" s="106"/>
      <c r="D63" s="106"/>
      <c r="E63" s="106"/>
      <c r="F63" s="106"/>
      <c r="G63" s="106"/>
      <c r="H63" s="55">
        <f>ROUND(H42,2)</f>
        <v>306.70999999999998</v>
      </c>
      <c r="R63"/>
      <c r="S63"/>
      <c r="T63"/>
      <c r="U63"/>
      <c r="V63"/>
    </row>
    <row r="64" spans="1:33" x14ac:dyDescent="0.2">
      <c r="A64" s="53" t="s">
        <v>134</v>
      </c>
      <c r="B64" s="106" t="s">
        <v>154</v>
      </c>
      <c r="C64" s="106"/>
      <c r="D64" s="106"/>
      <c r="E64" s="106"/>
      <c r="F64" s="106"/>
      <c r="G64" s="106"/>
      <c r="H64" s="55">
        <f>ROUND(H54,2)</f>
        <v>1106.5899999999999</v>
      </c>
      <c r="R64"/>
      <c r="S64"/>
      <c r="T64"/>
      <c r="U64"/>
      <c r="V64"/>
    </row>
    <row r="65" spans="1:22" x14ac:dyDescent="0.2">
      <c r="A65" s="53" t="s">
        <v>146</v>
      </c>
      <c r="B65" s="106" t="s">
        <v>155</v>
      </c>
      <c r="C65" s="106"/>
      <c r="D65" s="106"/>
      <c r="E65" s="106"/>
      <c r="F65" s="106"/>
      <c r="G65" s="106"/>
      <c r="H65" s="55">
        <f>ROUND(H60,2)</f>
        <v>287.16000000000003</v>
      </c>
      <c r="R65"/>
      <c r="S65"/>
      <c r="T65"/>
      <c r="U65"/>
      <c r="V65"/>
    </row>
    <row r="66" spans="1:22" x14ac:dyDescent="0.2">
      <c r="A66" s="109" t="s">
        <v>156</v>
      </c>
      <c r="B66" s="109"/>
      <c r="C66" s="109"/>
      <c r="D66" s="109"/>
      <c r="E66" s="109"/>
      <c r="F66" s="109"/>
      <c r="G66" s="109"/>
      <c r="H66" s="56">
        <f>SUM(H63:H65)</f>
        <v>1700.46</v>
      </c>
      <c r="R66"/>
      <c r="S66"/>
      <c r="T66"/>
      <c r="U66"/>
      <c r="V66"/>
    </row>
    <row r="67" spans="1:22" x14ac:dyDescent="0.2">
      <c r="A67" s="123"/>
      <c r="B67" s="123"/>
      <c r="C67" s="123"/>
      <c r="D67" s="123"/>
      <c r="E67" s="123"/>
      <c r="F67" s="123"/>
      <c r="G67" s="123"/>
      <c r="H67" s="123"/>
      <c r="R67"/>
      <c r="S67"/>
      <c r="T67"/>
      <c r="U67"/>
      <c r="V67"/>
    </row>
    <row r="68" spans="1:22" x14ac:dyDescent="0.2">
      <c r="A68" s="119" t="s">
        <v>157</v>
      </c>
      <c r="B68" s="119"/>
      <c r="C68" s="119"/>
      <c r="D68" s="119"/>
      <c r="E68" s="119"/>
      <c r="F68" s="119"/>
      <c r="G68" s="119"/>
      <c r="H68" s="119"/>
      <c r="R68"/>
      <c r="S68"/>
      <c r="T68"/>
      <c r="U68"/>
      <c r="V68"/>
    </row>
    <row r="69" spans="1:22" x14ac:dyDescent="0.2">
      <c r="A69" s="109" t="s">
        <v>158</v>
      </c>
      <c r="B69" s="109"/>
      <c r="C69" s="109"/>
      <c r="D69" s="109"/>
      <c r="E69" s="109"/>
      <c r="F69" s="109"/>
      <c r="G69" s="109"/>
      <c r="H69" s="55">
        <f>H29+H40+H41</f>
        <v>3007.0469368333338</v>
      </c>
      <c r="R69"/>
      <c r="S69"/>
      <c r="T69"/>
      <c r="U69"/>
      <c r="V69"/>
    </row>
    <row r="70" spans="1:22" x14ac:dyDescent="0.2">
      <c r="A70" s="25" t="s">
        <v>159</v>
      </c>
      <c r="B70" s="92" t="s">
        <v>160</v>
      </c>
      <c r="C70" s="92"/>
      <c r="D70" s="92"/>
      <c r="E70" s="92"/>
      <c r="F70" s="25" t="s">
        <v>161</v>
      </c>
      <c r="G70" s="25" t="s">
        <v>136</v>
      </c>
      <c r="H70" s="29" t="s">
        <v>114</v>
      </c>
      <c r="R70"/>
      <c r="S70"/>
      <c r="T70"/>
      <c r="U70"/>
      <c r="V70"/>
    </row>
    <row r="71" spans="1:22" x14ac:dyDescent="0.2">
      <c r="A71" s="26" t="s">
        <v>81</v>
      </c>
      <c r="B71" s="124" t="s">
        <v>162</v>
      </c>
      <c r="C71" s="124"/>
      <c r="D71" s="124"/>
      <c r="E71" s="124"/>
      <c r="F71" s="30">
        <v>0.05</v>
      </c>
      <c r="G71" s="31">
        <f>(1/12)*(30/30)*F71</f>
        <v>4.1666666666666666E-3</v>
      </c>
      <c r="H71" s="32">
        <f>H69*G71</f>
        <v>12.529362236805557</v>
      </c>
      <c r="R71"/>
      <c r="S71"/>
      <c r="T71"/>
      <c r="U71"/>
      <c r="V71"/>
    </row>
    <row r="72" spans="1:22" x14ac:dyDescent="0.2">
      <c r="A72" s="26" t="s">
        <v>84</v>
      </c>
      <c r="B72" s="112" t="s">
        <v>163</v>
      </c>
      <c r="C72" s="112"/>
      <c r="D72" s="112"/>
      <c r="E72" s="112"/>
      <c r="F72" s="112"/>
      <c r="G72" s="31">
        <f>G53</f>
        <v>0.08</v>
      </c>
      <c r="H72" s="32">
        <f>H71*G72</f>
        <v>1.0023489789444446</v>
      </c>
      <c r="R72"/>
      <c r="S72"/>
      <c r="T72"/>
      <c r="U72"/>
      <c r="V72"/>
    </row>
    <row r="73" spans="1:22" x14ac:dyDescent="0.2">
      <c r="A73" s="26" t="s">
        <v>86</v>
      </c>
      <c r="B73" s="112" t="s">
        <v>164</v>
      </c>
      <c r="C73" s="112"/>
      <c r="D73" s="112"/>
      <c r="E73" s="112"/>
      <c r="F73" s="112"/>
      <c r="G73" s="31">
        <f>40%*G72*F71</f>
        <v>1.6000000000000001E-3</v>
      </c>
      <c r="H73" s="32">
        <f>H69*G73</f>
        <v>4.8112750989333346</v>
      </c>
      <c r="R73"/>
      <c r="S73"/>
      <c r="T73"/>
      <c r="U73"/>
      <c r="V73"/>
    </row>
    <row r="74" spans="1:22" x14ac:dyDescent="0.2">
      <c r="A74" s="92" t="s">
        <v>165</v>
      </c>
      <c r="B74" s="92"/>
      <c r="C74" s="92"/>
      <c r="D74" s="92"/>
      <c r="E74" s="92"/>
      <c r="F74" s="92"/>
      <c r="G74" s="33"/>
      <c r="H74" s="34">
        <f>ROUND(SUM(H71:H73),2)</f>
        <v>18.34</v>
      </c>
      <c r="R74"/>
      <c r="S74"/>
      <c r="T74"/>
      <c r="U74"/>
      <c r="V74"/>
    </row>
    <row r="75" spans="1:22" x14ac:dyDescent="0.2">
      <c r="A75" s="123"/>
      <c r="B75" s="123"/>
      <c r="C75" s="123"/>
      <c r="D75" s="123"/>
      <c r="E75" s="123"/>
      <c r="F75" s="123"/>
      <c r="G75" s="123"/>
      <c r="H75" s="123"/>
      <c r="R75"/>
      <c r="S75"/>
      <c r="T75"/>
      <c r="U75"/>
      <c r="V75"/>
    </row>
    <row r="76" spans="1:22" x14ac:dyDescent="0.2">
      <c r="A76" s="109" t="s">
        <v>158</v>
      </c>
      <c r="B76" s="109"/>
      <c r="C76" s="109"/>
      <c r="D76" s="109"/>
      <c r="E76" s="109"/>
      <c r="F76" s="109"/>
      <c r="G76" s="109"/>
      <c r="H76" s="32">
        <f>H29</f>
        <v>2700.3340000000003</v>
      </c>
      <c r="R76"/>
      <c r="S76"/>
      <c r="T76"/>
      <c r="U76"/>
      <c r="V76"/>
    </row>
    <row r="77" spans="1:22" x14ac:dyDescent="0.2">
      <c r="A77" s="109" t="s">
        <v>166</v>
      </c>
      <c r="B77" s="109"/>
      <c r="C77" s="109"/>
      <c r="D77" s="109"/>
      <c r="E77" s="109"/>
      <c r="F77" s="109"/>
      <c r="G77" s="109"/>
      <c r="H77" s="32">
        <f>H29+H40+H41+H88</f>
        <v>3252.1022473333337</v>
      </c>
      <c r="R77"/>
      <c r="S77"/>
      <c r="T77"/>
      <c r="U77"/>
      <c r="V77"/>
    </row>
    <row r="78" spans="1:22" x14ac:dyDescent="0.2">
      <c r="A78" s="25" t="s">
        <v>167</v>
      </c>
      <c r="B78" s="92" t="s">
        <v>168</v>
      </c>
      <c r="C78" s="92"/>
      <c r="D78" s="92"/>
      <c r="E78" s="92"/>
      <c r="F78" s="35" t="s">
        <v>169</v>
      </c>
      <c r="G78" s="33" t="s">
        <v>136</v>
      </c>
      <c r="H78" s="29" t="s">
        <v>114</v>
      </c>
      <c r="R78"/>
      <c r="S78"/>
      <c r="T78"/>
      <c r="U78"/>
      <c r="V78"/>
    </row>
    <row r="79" spans="1:22" x14ac:dyDescent="0.2">
      <c r="A79" s="26" t="s">
        <v>81</v>
      </c>
      <c r="B79" s="124" t="s">
        <v>170</v>
      </c>
      <c r="C79" s="124"/>
      <c r="D79" s="124"/>
      <c r="E79" s="124"/>
      <c r="F79" s="30">
        <v>1</v>
      </c>
      <c r="G79" s="31">
        <f>7/12/30*F79</f>
        <v>1.9444444444444445E-2</v>
      </c>
      <c r="H79" s="32">
        <f>H76*G79</f>
        <v>52.506494444444449</v>
      </c>
      <c r="R79"/>
      <c r="S79"/>
      <c r="T79"/>
      <c r="U79"/>
      <c r="V79"/>
    </row>
    <row r="80" spans="1:22" x14ac:dyDescent="0.2">
      <c r="A80" s="26" t="s">
        <v>84</v>
      </c>
      <c r="B80" s="112" t="s">
        <v>171</v>
      </c>
      <c r="C80" s="112"/>
      <c r="D80" s="112"/>
      <c r="E80" s="112"/>
      <c r="F80" s="112"/>
      <c r="G80" s="31">
        <f>G54</f>
        <v>0.36800000000000005</v>
      </c>
      <c r="H80" s="32">
        <f>H79*G80</f>
        <v>19.322389955555561</v>
      </c>
      <c r="R80"/>
      <c r="S80"/>
      <c r="T80"/>
      <c r="U80"/>
      <c r="V80"/>
    </row>
    <row r="81" spans="1:22" x14ac:dyDescent="0.2">
      <c r="A81" s="26" t="s">
        <v>86</v>
      </c>
      <c r="B81" s="112" t="s">
        <v>172</v>
      </c>
      <c r="C81" s="112"/>
      <c r="D81" s="112"/>
      <c r="E81" s="112"/>
      <c r="F81" s="112"/>
      <c r="G81" s="31">
        <f>40%*G53*F79</f>
        <v>3.2000000000000001E-2</v>
      </c>
      <c r="H81" s="28">
        <f>G81*H77</f>
        <v>104.06727191466668</v>
      </c>
      <c r="R81"/>
      <c r="S81"/>
      <c r="T81"/>
      <c r="U81"/>
      <c r="V81"/>
    </row>
    <row r="82" spans="1:22" x14ac:dyDescent="0.2">
      <c r="A82" s="92" t="s">
        <v>173</v>
      </c>
      <c r="B82" s="92"/>
      <c r="C82" s="92"/>
      <c r="D82" s="92"/>
      <c r="E82" s="92"/>
      <c r="F82" s="92"/>
      <c r="G82" s="33"/>
      <c r="H82" s="34">
        <f>ROUND(SUM(H79:H81),2)</f>
        <v>175.9</v>
      </c>
      <c r="R82"/>
      <c r="S82"/>
      <c r="T82"/>
      <c r="U82"/>
      <c r="V82"/>
    </row>
    <row r="83" spans="1:22" x14ac:dyDescent="0.2">
      <c r="A83" s="92" t="s">
        <v>174</v>
      </c>
      <c r="B83" s="92"/>
      <c r="C83" s="92"/>
      <c r="D83" s="92"/>
      <c r="E83" s="92"/>
      <c r="F83" s="92"/>
      <c r="G83" s="92"/>
      <c r="H83" s="29">
        <f>SUM(H74,H82)</f>
        <v>194.24</v>
      </c>
      <c r="R83"/>
      <c r="S83"/>
      <c r="T83"/>
      <c r="U83"/>
      <c r="V83"/>
    </row>
    <row r="84" spans="1:22" x14ac:dyDescent="0.2">
      <c r="A84" s="123"/>
      <c r="B84" s="123"/>
      <c r="C84" s="123"/>
      <c r="D84" s="123"/>
      <c r="E84" s="123"/>
      <c r="F84" s="123"/>
      <c r="G84" s="123"/>
      <c r="H84" s="123"/>
      <c r="R84"/>
      <c r="S84"/>
      <c r="T84"/>
      <c r="U84"/>
      <c r="V84"/>
    </row>
    <row r="85" spans="1:22" x14ac:dyDescent="0.2">
      <c r="A85" s="120" t="s">
        <v>175</v>
      </c>
      <c r="B85" s="120"/>
      <c r="C85" s="120"/>
      <c r="D85" s="120"/>
      <c r="E85" s="120"/>
      <c r="F85" s="120"/>
      <c r="G85" s="120"/>
      <c r="H85" s="120"/>
      <c r="R85"/>
      <c r="S85"/>
      <c r="T85"/>
      <c r="U85"/>
      <c r="V85"/>
    </row>
    <row r="86" spans="1:22" x14ac:dyDescent="0.2">
      <c r="A86" s="109" t="s">
        <v>176</v>
      </c>
      <c r="B86" s="109"/>
      <c r="C86" s="109"/>
      <c r="D86" s="109"/>
      <c r="E86" s="109"/>
      <c r="F86" s="109"/>
      <c r="G86" s="109"/>
      <c r="H86" s="55">
        <f>H29+H42+H88</f>
        <v>3252.1022473333337</v>
      </c>
      <c r="R86"/>
      <c r="S86"/>
      <c r="T86"/>
      <c r="U86"/>
      <c r="V86"/>
    </row>
    <row r="87" spans="1:22" x14ac:dyDescent="0.2">
      <c r="A87" s="50" t="s">
        <v>177</v>
      </c>
      <c r="B87" s="109" t="s">
        <v>178</v>
      </c>
      <c r="C87" s="109"/>
      <c r="D87" s="109"/>
      <c r="E87" s="109"/>
      <c r="F87" s="109"/>
      <c r="G87" s="25" t="s">
        <v>136</v>
      </c>
      <c r="H87" s="58" t="s">
        <v>114</v>
      </c>
      <c r="R87"/>
      <c r="S87"/>
      <c r="T87"/>
      <c r="U87"/>
      <c r="V87"/>
    </row>
    <row r="88" spans="1:22" x14ac:dyDescent="0.2">
      <c r="A88" s="59" t="s">
        <v>81</v>
      </c>
      <c r="B88" s="125" t="s">
        <v>179</v>
      </c>
      <c r="C88" s="125"/>
      <c r="D88" s="125"/>
      <c r="E88" s="125"/>
      <c r="F88" s="125"/>
      <c r="G88" s="82">
        <v>9.0749999999999997E-2</v>
      </c>
      <c r="H88" s="55">
        <f>H29*G88</f>
        <v>245.05531050000002</v>
      </c>
      <c r="R88"/>
      <c r="S88"/>
      <c r="T88"/>
      <c r="U88"/>
      <c r="V88"/>
    </row>
    <row r="89" spans="1:22" x14ac:dyDescent="0.2">
      <c r="A89" s="59" t="s">
        <v>84</v>
      </c>
      <c r="B89" s="125" t="s">
        <v>180</v>
      </c>
      <c r="C89" s="125"/>
      <c r="D89" s="125"/>
      <c r="E89" s="125"/>
      <c r="F89" s="125"/>
      <c r="G89" s="61">
        <f>2.96/30/12</f>
        <v>8.2222222222222228E-3</v>
      </c>
      <c r="H89" s="55">
        <f>H86*G89</f>
        <v>26.739507366962968</v>
      </c>
      <c r="R89"/>
      <c r="S89"/>
      <c r="T89"/>
      <c r="U89"/>
      <c r="V89"/>
    </row>
    <row r="90" spans="1:22" x14ac:dyDescent="0.2">
      <c r="A90" s="59" t="s">
        <v>86</v>
      </c>
      <c r="B90" s="125" t="s">
        <v>181</v>
      </c>
      <c r="C90" s="125"/>
      <c r="D90" s="125"/>
      <c r="E90" s="125"/>
      <c r="F90" s="125"/>
      <c r="G90" s="61">
        <f>5/30/12*0.015</f>
        <v>2.0833333333333332E-4</v>
      </c>
      <c r="H90" s="55">
        <f>H86*G90</f>
        <v>0.67752130152777779</v>
      </c>
      <c r="R90"/>
      <c r="S90"/>
      <c r="T90"/>
      <c r="U90"/>
      <c r="V90"/>
    </row>
    <row r="91" spans="1:22" x14ac:dyDescent="0.2">
      <c r="A91" s="59" t="s">
        <v>89</v>
      </c>
      <c r="B91" s="125" t="s">
        <v>182</v>
      </c>
      <c r="C91" s="125"/>
      <c r="D91" s="125"/>
      <c r="E91" s="125"/>
      <c r="F91" s="125"/>
      <c r="G91" s="61">
        <f>15/30/12*0.0078</f>
        <v>3.2499999999999999E-4</v>
      </c>
      <c r="H91" s="55">
        <f>H86*G91</f>
        <v>1.0569332303833334</v>
      </c>
      <c r="R91"/>
      <c r="S91"/>
      <c r="T91"/>
      <c r="U91"/>
      <c r="V91"/>
    </row>
    <row r="92" spans="1:22" x14ac:dyDescent="0.2">
      <c r="A92" s="59" t="s">
        <v>92</v>
      </c>
      <c r="B92" s="125" t="s">
        <v>183</v>
      </c>
      <c r="C92" s="125"/>
      <c r="D92" s="125"/>
      <c r="E92" s="125"/>
      <c r="F92" s="125"/>
      <c r="G92" s="61">
        <f>4/12*0.02</f>
        <v>6.6666666666666662E-3</v>
      </c>
      <c r="H92" s="55">
        <f>(((H29+H42)/12)*G92)</f>
        <v>1.6705816315740742</v>
      </c>
      <c r="R92"/>
      <c r="S92"/>
      <c r="T92"/>
      <c r="U92"/>
      <c r="V92"/>
    </row>
    <row r="93" spans="1:22" x14ac:dyDescent="0.2">
      <c r="A93" s="59" t="s">
        <v>95</v>
      </c>
      <c r="B93" s="125" t="s">
        <v>150</v>
      </c>
      <c r="C93" s="125"/>
      <c r="D93" s="125"/>
      <c r="E93" s="125"/>
      <c r="F93" s="125"/>
      <c r="G93" s="61"/>
      <c r="H93" s="55">
        <v>0</v>
      </c>
      <c r="R93"/>
      <c r="S93"/>
      <c r="T93"/>
      <c r="U93"/>
      <c r="V93"/>
    </row>
    <row r="94" spans="1:22" x14ac:dyDescent="0.2">
      <c r="A94" s="109" t="s">
        <v>184</v>
      </c>
      <c r="B94" s="109"/>
      <c r="C94" s="109"/>
      <c r="D94" s="109"/>
      <c r="E94" s="109"/>
      <c r="F94" s="109"/>
      <c r="G94" s="109"/>
      <c r="H94" s="56">
        <f>SUM(H88:H93)</f>
        <v>275.19985403044819</v>
      </c>
      <c r="R94"/>
      <c r="S94"/>
      <c r="T94"/>
      <c r="U94"/>
      <c r="V94"/>
    </row>
    <row r="95" spans="1:22" x14ac:dyDescent="0.2">
      <c r="A95" s="59" t="s">
        <v>97</v>
      </c>
      <c r="B95" s="125" t="s">
        <v>185</v>
      </c>
      <c r="C95" s="125"/>
      <c r="D95" s="125"/>
      <c r="E95" s="125"/>
      <c r="F95" s="125"/>
      <c r="G95" s="61">
        <f>G54</f>
        <v>0.36800000000000005</v>
      </c>
      <c r="H95" s="55">
        <f>H94*G95</f>
        <v>101.27354628320495</v>
      </c>
      <c r="R95"/>
      <c r="S95"/>
      <c r="T95"/>
      <c r="U95"/>
      <c r="V95"/>
    </row>
    <row r="96" spans="1:22" x14ac:dyDescent="0.2">
      <c r="A96" s="109" t="s">
        <v>186</v>
      </c>
      <c r="B96" s="109"/>
      <c r="C96" s="109"/>
      <c r="D96" s="109"/>
      <c r="E96" s="109"/>
      <c r="F96" s="109"/>
      <c r="G96" s="109"/>
      <c r="H96" s="58">
        <f>ROUND(SUM(H94:H95),2)</f>
        <v>376.47</v>
      </c>
      <c r="R96"/>
      <c r="S96"/>
      <c r="T96"/>
      <c r="U96"/>
      <c r="V96"/>
    </row>
    <row r="97" spans="1:22" x14ac:dyDescent="0.2">
      <c r="A97" s="123"/>
      <c r="B97" s="123"/>
      <c r="C97" s="123"/>
      <c r="D97" s="123"/>
      <c r="E97" s="123"/>
      <c r="F97" s="123"/>
      <c r="G97" s="123"/>
      <c r="H97" s="123"/>
      <c r="R97"/>
      <c r="S97"/>
      <c r="T97"/>
      <c r="U97"/>
      <c r="V97"/>
    </row>
    <row r="98" spans="1:22" x14ac:dyDescent="0.2">
      <c r="A98" s="120" t="s">
        <v>187</v>
      </c>
      <c r="B98" s="120"/>
      <c r="C98" s="120"/>
      <c r="D98" s="120"/>
      <c r="E98" s="120"/>
      <c r="F98" s="120"/>
      <c r="G98" s="120"/>
      <c r="H98" s="120"/>
      <c r="R98"/>
      <c r="S98"/>
      <c r="T98"/>
      <c r="U98"/>
      <c r="V98"/>
    </row>
    <row r="99" spans="1:22" x14ac:dyDescent="0.2">
      <c r="A99" s="109" t="s">
        <v>188</v>
      </c>
      <c r="B99" s="109"/>
      <c r="C99" s="109"/>
      <c r="D99" s="109"/>
      <c r="E99" s="109"/>
      <c r="F99" s="109"/>
      <c r="G99" s="109"/>
      <c r="H99" s="58" t="s">
        <v>114</v>
      </c>
      <c r="R99"/>
      <c r="S99"/>
      <c r="T99"/>
      <c r="U99"/>
      <c r="V99"/>
    </row>
    <row r="100" spans="1:22" x14ac:dyDescent="0.2">
      <c r="A100" s="53" t="s">
        <v>81</v>
      </c>
      <c r="B100" s="106" t="s">
        <v>189</v>
      </c>
      <c r="C100" s="106"/>
      <c r="D100" s="106"/>
      <c r="E100" s="106"/>
      <c r="F100" s="106"/>
      <c r="G100" s="106"/>
      <c r="H100" s="55">
        <f>H169</f>
        <v>128.9</v>
      </c>
      <c r="R100"/>
      <c r="S100"/>
      <c r="T100"/>
      <c r="U100"/>
      <c r="V100"/>
    </row>
    <row r="101" spans="1:22" x14ac:dyDescent="0.2">
      <c r="A101" s="53" t="s">
        <v>84</v>
      </c>
      <c r="B101" s="106" t="s">
        <v>190</v>
      </c>
      <c r="C101" s="106"/>
      <c r="D101" s="106"/>
      <c r="E101" s="106"/>
      <c r="F101" s="106"/>
      <c r="G101" s="106"/>
      <c r="H101" s="55">
        <f>Combustível!F22</f>
        <v>182.74</v>
      </c>
      <c r="R101"/>
      <c r="S101"/>
      <c r="T101"/>
      <c r="U101"/>
      <c r="V101"/>
    </row>
    <row r="102" spans="1:22" x14ac:dyDescent="0.2">
      <c r="A102" s="53" t="s">
        <v>86</v>
      </c>
      <c r="B102" s="106" t="s">
        <v>191</v>
      </c>
      <c r="C102" s="106"/>
      <c r="D102" s="106"/>
      <c r="E102" s="106"/>
      <c r="F102" s="106"/>
      <c r="G102" s="106"/>
      <c r="H102" s="55">
        <f>Equipamentos!H35</f>
        <v>81.260000000000005</v>
      </c>
      <c r="R102"/>
      <c r="S102"/>
      <c r="T102"/>
      <c r="U102"/>
      <c r="V102"/>
    </row>
    <row r="103" spans="1:22" x14ac:dyDescent="0.2">
      <c r="A103" s="53" t="s">
        <v>89</v>
      </c>
      <c r="B103" s="106" t="s">
        <v>150</v>
      </c>
      <c r="C103" s="106"/>
      <c r="D103" s="106"/>
      <c r="E103" s="106"/>
      <c r="F103" s="106"/>
      <c r="G103" s="106"/>
      <c r="H103" s="55">
        <v>0</v>
      </c>
      <c r="R103"/>
      <c r="S103"/>
      <c r="T103"/>
      <c r="U103"/>
      <c r="V103"/>
    </row>
    <row r="104" spans="1:22" x14ac:dyDescent="0.2">
      <c r="A104" s="109" t="s">
        <v>192</v>
      </c>
      <c r="B104" s="109"/>
      <c r="C104" s="109"/>
      <c r="D104" s="109"/>
      <c r="E104" s="109"/>
      <c r="F104" s="109"/>
      <c r="G104" s="109"/>
      <c r="H104" s="58">
        <f>SUM(H100:H103)</f>
        <v>392.9</v>
      </c>
      <c r="R104"/>
      <c r="S104"/>
      <c r="T104"/>
      <c r="U104"/>
      <c r="V104"/>
    </row>
    <row r="105" spans="1:22" x14ac:dyDescent="0.2">
      <c r="A105" s="123"/>
      <c r="B105" s="123"/>
      <c r="C105" s="123"/>
      <c r="D105" s="123"/>
      <c r="E105" s="123"/>
      <c r="F105" s="123"/>
      <c r="G105" s="123"/>
      <c r="H105" s="123"/>
      <c r="R105"/>
      <c r="S105"/>
      <c r="T105"/>
      <c r="U105"/>
      <c r="V105"/>
    </row>
    <row r="106" spans="1:22" x14ac:dyDescent="0.2">
      <c r="A106" s="120" t="s">
        <v>193</v>
      </c>
      <c r="B106" s="120"/>
      <c r="C106" s="120"/>
      <c r="D106" s="120"/>
      <c r="E106" s="120"/>
      <c r="F106" s="120"/>
      <c r="G106" s="120"/>
      <c r="H106" s="120"/>
      <c r="R106"/>
      <c r="S106"/>
      <c r="T106"/>
      <c r="U106"/>
      <c r="V106"/>
    </row>
    <row r="107" spans="1:22" x14ac:dyDescent="0.2">
      <c r="A107" s="109" t="s">
        <v>194</v>
      </c>
      <c r="B107" s="109"/>
      <c r="C107" s="109"/>
      <c r="D107" s="109"/>
      <c r="E107" s="109"/>
      <c r="F107" s="51" t="s">
        <v>195</v>
      </c>
      <c r="G107" s="50" t="s">
        <v>136</v>
      </c>
      <c r="H107" s="58" t="s">
        <v>114</v>
      </c>
      <c r="R107"/>
      <c r="S107"/>
      <c r="T107"/>
      <c r="U107"/>
      <c r="V107"/>
    </row>
    <row r="108" spans="1:22" x14ac:dyDescent="0.2">
      <c r="A108" s="59" t="s">
        <v>81</v>
      </c>
      <c r="B108" s="126" t="s">
        <v>196</v>
      </c>
      <c r="C108" s="126"/>
      <c r="D108" s="126"/>
      <c r="E108" s="126"/>
      <c r="F108" s="28">
        <f>SUM(H36+H66+H83+H96+H104)</f>
        <v>5564.9540000000006</v>
      </c>
      <c r="G108" s="61">
        <v>0.03</v>
      </c>
      <c r="H108" s="32">
        <f>ROUND(F108*G108,2)</f>
        <v>166.95</v>
      </c>
      <c r="R108"/>
      <c r="S108"/>
      <c r="T108"/>
      <c r="U108"/>
      <c r="V108"/>
    </row>
    <row r="109" spans="1:22" x14ac:dyDescent="0.2">
      <c r="A109" s="59" t="s">
        <v>84</v>
      </c>
      <c r="B109" s="126" t="s">
        <v>197</v>
      </c>
      <c r="C109" s="126"/>
      <c r="D109" s="126"/>
      <c r="E109" s="126"/>
      <c r="F109" s="28">
        <f>SUM(F108,H108)</f>
        <v>5731.9040000000005</v>
      </c>
      <c r="G109" s="61">
        <v>6.7900000000000002E-2</v>
      </c>
      <c r="H109" s="32">
        <f>ROUND(F109*G109,2)</f>
        <v>389.2</v>
      </c>
      <c r="R109"/>
      <c r="S109"/>
      <c r="T109"/>
      <c r="U109"/>
      <c r="V109"/>
    </row>
    <row r="110" spans="1:22" x14ac:dyDescent="0.2">
      <c r="A110" s="59" t="s">
        <v>86</v>
      </c>
      <c r="B110" s="112" t="s">
        <v>198</v>
      </c>
      <c r="C110" s="112"/>
      <c r="D110" s="112"/>
      <c r="E110" s="112"/>
      <c r="F110" s="112"/>
      <c r="G110" s="112"/>
      <c r="H110" s="112"/>
      <c r="R110"/>
      <c r="S110"/>
      <c r="T110"/>
      <c r="U110"/>
      <c r="V110"/>
    </row>
    <row r="111" spans="1:22" x14ac:dyDescent="0.2">
      <c r="A111" s="59"/>
      <c r="B111" s="126" t="s">
        <v>199</v>
      </c>
      <c r="C111" s="126"/>
      <c r="D111" s="126"/>
      <c r="E111" s="126"/>
      <c r="F111" s="28">
        <f>SUM(F109,H109)</f>
        <v>6121.1040000000003</v>
      </c>
      <c r="G111" s="61">
        <v>3.6499999999999998E-2</v>
      </c>
      <c r="H111" s="32">
        <f>ROUND(F111*G111,2)</f>
        <v>223.42</v>
      </c>
      <c r="R111"/>
      <c r="S111"/>
      <c r="T111"/>
      <c r="U111"/>
      <c r="V111"/>
    </row>
    <row r="112" spans="1:22" x14ac:dyDescent="0.2">
      <c r="A112" s="59"/>
      <c r="B112" s="126" t="s">
        <v>200</v>
      </c>
      <c r="C112" s="126"/>
      <c r="D112" s="126"/>
      <c r="E112" s="126"/>
      <c r="F112" s="28">
        <f>SUM(F111,H111)</f>
        <v>6344.5240000000003</v>
      </c>
      <c r="G112" s="61">
        <v>0.04</v>
      </c>
      <c r="H112" s="32">
        <f>ROUND(F112*G112,2)</f>
        <v>253.78</v>
      </c>
      <c r="R112"/>
      <c r="S112"/>
      <c r="T112"/>
      <c r="U112"/>
      <c r="V112"/>
    </row>
    <row r="113" spans="1:22" x14ac:dyDescent="0.2">
      <c r="A113" s="109" t="s">
        <v>201</v>
      </c>
      <c r="B113" s="109"/>
      <c r="C113" s="109"/>
      <c r="D113" s="109"/>
      <c r="E113" s="109"/>
      <c r="F113" s="109"/>
      <c r="G113" s="109"/>
      <c r="H113" s="58">
        <f>SUM(H108,H109,H111,H112)</f>
        <v>1033.3499999999999</v>
      </c>
      <c r="R113"/>
      <c r="S113"/>
      <c r="T113"/>
      <c r="U113"/>
      <c r="V113"/>
    </row>
    <row r="114" spans="1:22" x14ac:dyDescent="0.2">
      <c r="A114" s="123"/>
      <c r="B114" s="123"/>
      <c r="C114" s="123"/>
      <c r="D114" s="123"/>
      <c r="E114" s="123"/>
      <c r="F114" s="123"/>
      <c r="G114" s="123"/>
      <c r="H114" s="123"/>
      <c r="R114"/>
      <c r="S114"/>
      <c r="T114"/>
      <c r="U114"/>
      <c r="V114"/>
    </row>
    <row r="115" spans="1:22" x14ac:dyDescent="0.2">
      <c r="A115" s="120" t="s">
        <v>202</v>
      </c>
      <c r="B115" s="120"/>
      <c r="C115" s="120"/>
      <c r="D115" s="120"/>
      <c r="E115" s="120"/>
      <c r="F115" s="120"/>
      <c r="G115" s="120"/>
      <c r="H115" s="62" t="s">
        <v>203</v>
      </c>
      <c r="R115"/>
      <c r="S115"/>
      <c r="T115"/>
      <c r="U115"/>
      <c r="V115"/>
    </row>
    <row r="116" spans="1:22" x14ac:dyDescent="0.2">
      <c r="A116" s="59" t="s">
        <v>81</v>
      </c>
      <c r="B116" s="126" t="s">
        <v>204</v>
      </c>
      <c r="C116" s="126"/>
      <c r="D116" s="126"/>
      <c r="E116" s="126"/>
      <c r="F116" s="126"/>
      <c r="G116" s="126"/>
      <c r="H116" s="49">
        <f>ROUND(H36,2)</f>
        <v>2900.88</v>
      </c>
      <c r="R116"/>
      <c r="S116"/>
      <c r="T116"/>
      <c r="U116"/>
      <c r="V116"/>
    </row>
    <row r="117" spans="1:22" x14ac:dyDescent="0.2">
      <c r="A117" s="59" t="s">
        <v>84</v>
      </c>
      <c r="B117" s="126" t="s">
        <v>205</v>
      </c>
      <c r="C117" s="126"/>
      <c r="D117" s="126"/>
      <c r="E117" s="126"/>
      <c r="F117" s="126"/>
      <c r="G117" s="126"/>
      <c r="H117" s="49">
        <f>ROUND(H66,2)</f>
        <v>1700.46</v>
      </c>
      <c r="R117"/>
      <c r="S117"/>
      <c r="T117"/>
      <c r="U117"/>
      <c r="V117"/>
    </row>
    <row r="118" spans="1:22" x14ac:dyDescent="0.2">
      <c r="A118" s="59" t="s">
        <v>86</v>
      </c>
      <c r="B118" s="126" t="s">
        <v>206</v>
      </c>
      <c r="C118" s="126"/>
      <c r="D118" s="126"/>
      <c r="E118" s="126"/>
      <c r="F118" s="126"/>
      <c r="G118" s="126"/>
      <c r="H118" s="49">
        <f>ROUND(H83,2)</f>
        <v>194.24</v>
      </c>
      <c r="R118"/>
      <c r="S118"/>
      <c r="T118"/>
      <c r="U118"/>
      <c r="V118"/>
    </row>
    <row r="119" spans="1:22" x14ac:dyDescent="0.2">
      <c r="A119" s="59" t="s">
        <v>89</v>
      </c>
      <c r="B119" s="126" t="s">
        <v>207</v>
      </c>
      <c r="C119" s="126"/>
      <c r="D119" s="126"/>
      <c r="E119" s="126"/>
      <c r="F119" s="126"/>
      <c r="G119" s="126"/>
      <c r="H119" s="49">
        <f>ROUND(H96,2)</f>
        <v>376.47</v>
      </c>
      <c r="R119"/>
      <c r="S119"/>
      <c r="T119"/>
      <c r="U119"/>
      <c r="V119"/>
    </row>
    <row r="120" spans="1:22" x14ac:dyDescent="0.2">
      <c r="A120" s="59" t="s">
        <v>92</v>
      </c>
      <c r="B120" s="126" t="s">
        <v>208</v>
      </c>
      <c r="C120" s="126"/>
      <c r="D120" s="126"/>
      <c r="E120" s="126"/>
      <c r="F120" s="126"/>
      <c r="G120" s="126"/>
      <c r="H120" s="49">
        <f>ROUND(H104,2)</f>
        <v>392.9</v>
      </c>
      <c r="R120"/>
      <c r="S120"/>
      <c r="T120"/>
      <c r="U120"/>
      <c r="V120"/>
    </row>
    <row r="121" spans="1:22" x14ac:dyDescent="0.2">
      <c r="A121" s="59" t="s">
        <v>95</v>
      </c>
      <c r="B121" s="126" t="s">
        <v>209</v>
      </c>
      <c r="C121" s="126"/>
      <c r="D121" s="126"/>
      <c r="E121" s="126"/>
      <c r="F121" s="126"/>
      <c r="G121" s="126"/>
      <c r="H121" s="49">
        <f>ROUND(H113,2)</f>
        <v>1033.3499999999999</v>
      </c>
      <c r="R121"/>
      <c r="S121"/>
      <c r="T121"/>
      <c r="U121"/>
      <c r="V121"/>
    </row>
    <row r="122" spans="1:22" x14ac:dyDescent="0.2">
      <c r="A122" s="109" t="s">
        <v>210</v>
      </c>
      <c r="B122" s="109"/>
      <c r="C122" s="109"/>
      <c r="D122" s="109"/>
      <c r="E122" s="109"/>
      <c r="F122" s="109"/>
      <c r="G122" s="109"/>
      <c r="H122" s="63">
        <f>SUM(H116:H121)</f>
        <v>6598.2999999999993</v>
      </c>
      <c r="R122"/>
      <c r="S122"/>
      <c r="T122"/>
      <c r="U122"/>
      <c r="V122"/>
    </row>
    <row r="123" spans="1:22" x14ac:dyDescent="0.2">
      <c r="A123" s="118"/>
      <c r="B123" s="118"/>
      <c r="C123" s="118"/>
      <c r="D123" s="118"/>
      <c r="E123" s="118"/>
      <c r="F123" s="118"/>
      <c r="G123" s="118"/>
      <c r="H123" s="118"/>
      <c r="R123"/>
      <c r="S123"/>
      <c r="T123"/>
      <c r="U123"/>
      <c r="V123"/>
    </row>
    <row r="124" spans="1:22" x14ac:dyDescent="0.2">
      <c r="A124" s="120" t="s">
        <v>211</v>
      </c>
      <c r="B124" s="120"/>
      <c r="C124" s="120"/>
      <c r="D124" s="120"/>
      <c r="E124" s="120"/>
      <c r="F124" s="120"/>
      <c r="G124" s="120"/>
      <c r="H124" s="120"/>
      <c r="R124"/>
      <c r="S124"/>
      <c r="T124"/>
      <c r="U124"/>
      <c r="V124"/>
    </row>
    <row r="125" spans="1:22" ht="14.65" customHeight="1" x14ac:dyDescent="0.2">
      <c r="A125" s="127" t="s">
        <v>212</v>
      </c>
      <c r="B125" s="127"/>
      <c r="C125" s="127"/>
      <c r="D125" s="127"/>
      <c r="E125" s="127"/>
      <c r="F125" s="127"/>
      <c r="G125" s="127"/>
      <c r="H125" s="64">
        <f>H122</f>
        <v>6598.2999999999993</v>
      </c>
      <c r="J125"/>
      <c r="K125"/>
      <c r="L125"/>
      <c r="M125"/>
      <c r="N125"/>
      <c r="O125"/>
      <c r="P125"/>
      <c r="Q125"/>
      <c r="R125"/>
      <c r="S125"/>
      <c r="T125"/>
      <c r="U125"/>
      <c r="V125"/>
    </row>
    <row r="126" spans="1:22" ht="14.65" customHeight="1" x14ac:dyDescent="0.2">
      <c r="A126" s="127" t="s">
        <v>213</v>
      </c>
      <c r="B126" s="127"/>
      <c r="C126" s="127"/>
      <c r="D126" s="127"/>
      <c r="E126" s="127"/>
      <c r="F126" s="127"/>
      <c r="G126" s="127"/>
      <c r="H126" s="65">
        <f>G21</f>
        <v>2</v>
      </c>
      <c r="J126"/>
      <c r="K126"/>
      <c r="L126"/>
      <c r="M126"/>
      <c r="N126"/>
      <c r="O126"/>
      <c r="P126"/>
      <c r="Q126"/>
      <c r="R126"/>
      <c r="S126"/>
      <c r="T126"/>
      <c r="U126"/>
      <c r="V126"/>
    </row>
    <row r="127" spans="1:22" ht="14.65" customHeight="1" x14ac:dyDescent="0.2">
      <c r="A127" s="127" t="s">
        <v>214</v>
      </c>
      <c r="B127" s="127"/>
      <c r="C127" s="127"/>
      <c r="D127" s="127"/>
      <c r="E127" s="127"/>
      <c r="F127" s="127"/>
      <c r="G127" s="127"/>
      <c r="H127" s="66">
        <f>H125*H126</f>
        <v>13196.599999999999</v>
      </c>
      <c r="J127"/>
      <c r="K127"/>
      <c r="L127"/>
      <c r="M127"/>
      <c r="N127"/>
      <c r="O127"/>
      <c r="P127"/>
      <c r="Q127"/>
      <c r="R127"/>
      <c r="S127"/>
      <c r="T127"/>
      <c r="U127"/>
      <c r="V127"/>
    </row>
    <row r="128" spans="1:22" ht="14.65" customHeight="1" x14ac:dyDescent="0.2">
      <c r="A128" s="127" t="s">
        <v>21</v>
      </c>
      <c r="B128" s="127"/>
      <c r="C128" s="127"/>
      <c r="D128" s="127"/>
      <c r="E128" s="127"/>
      <c r="F128" s="127"/>
      <c r="G128" s="127"/>
      <c r="H128" s="53">
        <f>G20</f>
        <v>1</v>
      </c>
      <c r="J128"/>
      <c r="K128"/>
      <c r="L128"/>
      <c r="M128"/>
      <c r="N128"/>
      <c r="O128"/>
      <c r="P128"/>
      <c r="Q128"/>
      <c r="R128"/>
      <c r="S128"/>
      <c r="T128"/>
      <c r="U128"/>
      <c r="V128"/>
    </row>
    <row r="129" spans="1:22" ht="14.65" customHeight="1" x14ac:dyDescent="0.2">
      <c r="A129" s="127" t="s">
        <v>215</v>
      </c>
      <c r="B129" s="127"/>
      <c r="C129" s="127"/>
      <c r="D129" s="127"/>
      <c r="E129" s="127"/>
      <c r="F129" s="127"/>
      <c r="G129" s="127"/>
      <c r="H129" s="66">
        <f>H127*H128</f>
        <v>13196.599999999999</v>
      </c>
      <c r="J129"/>
      <c r="K129"/>
      <c r="L129"/>
      <c r="M129"/>
      <c r="N129"/>
      <c r="O129"/>
      <c r="P129"/>
      <c r="Q129"/>
      <c r="R129"/>
      <c r="S129"/>
      <c r="T129"/>
      <c r="U129"/>
      <c r="V129"/>
    </row>
    <row r="130" spans="1:22" ht="14.65" customHeight="1" x14ac:dyDescent="0.2">
      <c r="A130" s="127" t="s">
        <v>216</v>
      </c>
      <c r="B130" s="127"/>
      <c r="C130" s="127"/>
      <c r="D130" s="127"/>
      <c r="E130" s="127"/>
      <c r="F130" s="127"/>
      <c r="G130" s="127"/>
      <c r="H130" s="67">
        <f>H129*12</f>
        <v>158359.19999999998</v>
      </c>
      <c r="J130"/>
      <c r="K130"/>
      <c r="L130"/>
      <c r="M130"/>
      <c r="N130"/>
      <c r="O130"/>
      <c r="P130"/>
      <c r="Q130"/>
      <c r="R130"/>
      <c r="S130"/>
      <c r="T130"/>
      <c r="U130"/>
      <c r="V130"/>
    </row>
    <row r="131" spans="1:22" ht="14.65" customHeight="1" x14ac:dyDescent="0.2">
      <c r="A131" s="127" t="s">
        <v>217</v>
      </c>
      <c r="B131" s="127"/>
      <c r="C131" s="127"/>
      <c r="D131" s="127"/>
      <c r="E131" s="127"/>
      <c r="F131" s="127"/>
      <c r="G131" s="127"/>
      <c r="H131" s="68">
        <f>G18</f>
        <v>12</v>
      </c>
      <c r="J131"/>
      <c r="K131"/>
      <c r="L131"/>
      <c r="M131"/>
      <c r="N131"/>
      <c r="O131"/>
      <c r="P131"/>
      <c r="Q131"/>
      <c r="R131"/>
      <c r="S131"/>
      <c r="T131"/>
      <c r="U131"/>
      <c r="V131"/>
    </row>
    <row r="132" spans="1:22" ht="14.65" customHeight="1" x14ac:dyDescent="0.2">
      <c r="A132" s="128" t="s">
        <v>218</v>
      </c>
      <c r="B132" s="128"/>
      <c r="C132" s="128"/>
      <c r="D132" s="128"/>
      <c r="E132" s="128"/>
      <c r="F132" s="128"/>
      <c r="G132" s="128"/>
      <c r="H132" s="69">
        <f>H129*H131</f>
        <v>158359.19999999998</v>
      </c>
      <c r="J132"/>
      <c r="K132"/>
      <c r="L132"/>
      <c r="M132"/>
      <c r="N132"/>
      <c r="O132"/>
      <c r="P132"/>
      <c r="Q132"/>
      <c r="R132"/>
      <c r="S132"/>
      <c r="T132"/>
      <c r="U132"/>
      <c r="V132"/>
    </row>
    <row r="133" spans="1:22" x14ac:dyDescent="0.2">
      <c r="A133" s="118"/>
      <c r="B133" s="118"/>
      <c r="C133" s="118"/>
      <c r="D133" s="118"/>
      <c r="E133" s="118"/>
      <c r="F133" s="118"/>
      <c r="G133" s="118"/>
      <c r="H133" s="118"/>
      <c r="R133"/>
      <c r="S133"/>
      <c r="T133"/>
      <c r="U133"/>
      <c r="V133"/>
    </row>
    <row r="134" spans="1:22" x14ac:dyDescent="0.2">
      <c r="A134" s="129"/>
      <c r="B134" s="129"/>
      <c r="C134" s="129"/>
      <c r="D134" s="129"/>
      <c r="E134" s="129"/>
      <c r="F134" s="129"/>
      <c r="G134" s="129"/>
      <c r="H134" s="129"/>
      <c r="R134"/>
      <c r="S134"/>
      <c r="T134"/>
      <c r="U134"/>
      <c r="V134"/>
    </row>
    <row r="135" spans="1:22" x14ac:dyDescent="0.2">
      <c r="A135" s="120" t="s">
        <v>219</v>
      </c>
      <c r="B135" s="120"/>
      <c r="C135" s="120"/>
      <c r="D135" s="120"/>
      <c r="E135" s="120"/>
      <c r="F135" s="120"/>
      <c r="G135" s="120"/>
      <c r="H135" s="120"/>
    </row>
    <row r="136" spans="1:22" x14ac:dyDescent="0.2">
      <c r="A136" s="109" t="s">
        <v>220</v>
      </c>
      <c r="B136" s="109"/>
      <c r="C136" s="109"/>
      <c r="D136" s="109"/>
      <c r="E136" s="109"/>
      <c r="F136" s="109"/>
      <c r="G136" s="109"/>
      <c r="H136" s="109"/>
    </row>
    <row r="137" spans="1:22" x14ac:dyDescent="0.2">
      <c r="A137" s="130" t="s">
        <v>221</v>
      </c>
      <c r="B137" s="130"/>
      <c r="C137" s="130"/>
      <c r="D137" s="130" t="s">
        <v>222</v>
      </c>
      <c r="E137" s="130"/>
      <c r="F137" s="130" t="s">
        <v>223</v>
      </c>
      <c r="G137" s="130"/>
      <c r="H137" s="52" t="s">
        <v>224</v>
      </c>
    </row>
    <row r="138" spans="1:22" x14ac:dyDescent="0.2">
      <c r="A138" s="131">
        <v>0</v>
      </c>
      <c r="B138" s="131"/>
      <c r="C138" s="131"/>
      <c r="D138" s="132">
        <v>0</v>
      </c>
      <c r="E138" s="132"/>
      <c r="F138" s="117">
        <v>22</v>
      </c>
      <c r="G138" s="117"/>
      <c r="H138" s="64">
        <f>ROUND(A138*D138*F138,2)</f>
        <v>0</v>
      </c>
    </row>
    <row r="139" spans="1:22" x14ac:dyDescent="0.2">
      <c r="A139" s="132"/>
      <c r="B139" s="132"/>
      <c r="C139" s="132"/>
      <c r="D139" s="132"/>
      <c r="E139" s="132"/>
      <c r="F139" s="132"/>
      <c r="G139" s="132"/>
      <c r="H139" s="132"/>
    </row>
    <row r="140" spans="1:22" x14ac:dyDescent="0.2">
      <c r="A140" s="109" t="s">
        <v>225</v>
      </c>
      <c r="B140" s="109"/>
      <c r="C140" s="109"/>
      <c r="D140" s="109"/>
      <c r="E140" s="109"/>
      <c r="F140" s="109"/>
      <c r="G140" s="109"/>
      <c r="H140" s="109"/>
    </row>
    <row r="141" spans="1:22" x14ac:dyDescent="0.2">
      <c r="A141" s="130" t="s">
        <v>226</v>
      </c>
      <c r="B141" s="130"/>
      <c r="C141" s="130"/>
      <c r="D141" s="130" t="s">
        <v>227</v>
      </c>
      <c r="E141" s="130"/>
      <c r="F141" s="130" t="s">
        <v>228</v>
      </c>
      <c r="G141" s="130"/>
      <c r="H141" s="52" t="s">
        <v>229</v>
      </c>
    </row>
    <row r="142" spans="1:22" x14ac:dyDescent="0.2">
      <c r="A142" s="131">
        <f>H25</f>
        <v>1764.4</v>
      </c>
      <c r="B142" s="131"/>
      <c r="C142" s="131"/>
      <c r="D142" s="133">
        <v>1</v>
      </c>
      <c r="E142" s="133"/>
      <c r="F142" s="133">
        <v>0</v>
      </c>
      <c r="G142" s="133"/>
      <c r="H142" s="64">
        <f>ROUND(A142*D142*F142,2)</f>
        <v>0</v>
      </c>
    </row>
    <row r="143" spans="1:22" x14ac:dyDescent="0.2">
      <c r="A143" s="132"/>
      <c r="B143" s="132"/>
      <c r="C143" s="132"/>
      <c r="D143" s="132"/>
      <c r="E143" s="132"/>
      <c r="F143" s="132"/>
      <c r="G143" s="132"/>
      <c r="H143" s="132"/>
    </row>
    <row r="144" spans="1:22" x14ac:dyDescent="0.2">
      <c r="A144" s="109" t="s">
        <v>230</v>
      </c>
      <c r="B144" s="109"/>
      <c r="C144" s="109"/>
      <c r="D144" s="109"/>
      <c r="E144" s="109"/>
      <c r="F144" s="109"/>
      <c r="G144" s="109"/>
      <c r="H144" s="58">
        <f>IF(H138-H142&lt;0,"0,00",H138-H142)</f>
        <v>0</v>
      </c>
    </row>
    <row r="145" spans="1:32" x14ac:dyDescent="0.2">
      <c r="A145" s="118"/>
      <c r="B145" s="118"/>
      <c r="C145" s="118"/>
      <c r="D145" s="118"/>
      <c r="E145" s="118"/>
      <c r="F145" s="118"/>
      <c r="G145" s="118"/>
      <c r="H145" s="118"/>
    </row>
    <row r="146" spans="1:32" x14ac:dyDescent="0.2">
      <c r="A146" s="120" t="s">
        <v>231</v>
      </c>
      <c r="B146" s="120"/>
      <c r="C146" s="120"/>
      <c r="D146" s="120"/>
      <c r="E146" s="120"/>
      <c r="F146" s="120"/>
      <c r="G146" s="120"/>
      <c r="H146" s="120"/>
    </row>
    <row r="147" spans="1:32" x14ac:dyDescent="0.2">
      <c r="A147" s="109" t="s">
        <v>232</v>
      </c>
      <c r="B147" s="109"/>
      <c r="C147" s="109"/>
      <c r="D147" s="109"/>
      <c r="E147" s="109"/>
      <c r="F147" s="109"/>
      <c r="G147" s="109"/>
      <c r="H147" s="109"/>
    </row>
    <row r="148" spans="1:32" x14ac:dyDescent="0.2">
      <c r="A148" s="130" t="s">
        <v>221</v>
      </c>
      <c r="B148" s="130"/>
      <c r="C148" s="130"/>
      <c r="D148" s="130" t="s">
        <v>223</v>
      </c>
      <c r="E148" s="130"/>
      <c r="F148" s="130"/>
      <c r="G148" s="130" t="s">
        <v>224</v>
      </c>
      <c r="H148" s="130"/>
    </row>
    <row r="149" spans="1:32" x14ac:dyDescent="0.2">
      <c r="A149" s="131">
        <v>23.93</v>
      </c>
      <c r="B149" s="131"/>
      <c r="C149" s="131"/>
      <c r="D149" s="117">
        <v>15</v>
      </c>
      <c r="E149" s="117"/>
      <c r="F149" s="117"/>
      <c r="G149" s="131">
        <f>ROUND(A149*D149,2)</f>
        <v>358.95</v>
      </c>
      <c r="H149" s="131"/>
    </row>
    <row r="150" spans="1:32" x14ac:dyDescent="0.2">
      <c r="A150" s="132"/>
      <c r="B150" s="132"/>
      <c r="C150" s="132"/>
      <c r="D150" s="132"/>
      <c r="E150" s="132"/>
      <c r="F150" s="132"/>
      <c r="G150" s="132"/>
      <c r="H150" s="132"/>
    </row>
    <row r="151" spans="1:32" x14ac:dyDescent="0.2">
      <c r="A151" s="109" t="s">
        <v>233</v>
      </c>
      <c r="B151" s="109"/>
      <c r="C151" s="109"/>
      <c r="D151" s="109"/>
      <c r="E151" s="109"/>
      <c r="F151" s="109"/>
      <c r="G151" s="109"/>
      <c r="H151" s="109"/>
    </row>
    <row r="152" spans="1:32" x14ac:dyDescent="0.2">
      <c r="A152" s="130" t="s">
        <v>226</v>
      </c>
      <c r="B152" s="130"/>
      <c r="C152" s="130"/>
      <c r="D152" s="130" t="s">
        <v>228</v>
      </c>
      <c r="E152" s="130"/>
      <c r="F152" s="130"/>
      <c r="G152" s="130" t="s">
        <v>229</v>
      </c>
      <c r="H152" s="130"/>
    </row>
    <row r="153" spans="1:32" x14ac:dyDescent="0.2">
      <c r="A153" s="131">
        <f>G149</f>
        <v>358.95</v>
      </c>
      <c r="B153" s="131"/>
      <c r="C153" s="131"/>
      <c r="D153" s="133">
        <v>0.2</v>
      </c>
      <c r="E153" s="133"/>
      <c r="F153" s="133"/>
      <c r="G153" s="131">
        <f>ROUND(A153*D153,2)</f>
        <v>71.790000000000006</v>
      </c>
      <c r="H153" s="131"/>
    </row>
    <row r="154" spans="1:32" x14ac:dyDescent="0.2">
      <c r="A154" s="132"/>
      <c r="B154" s="132"/>
      <c r="C154" s="132"/>
      <c r="D154" s="132"/>
      <c r="E154" s="132"/>
      <c r="F154" s="132"/>
      <c r="G154" s="132"/>
      <c r="H154" s="132"/>
    </row>
    <row r="155" spans="1:32" x14ac:dyDescent="0.2">
      <c r="A155" s="109" t="s">
        <v>234</v>
      </c>
      <c r="B155" s="109"/>
      <c r="C155" s="109"/>
      <c r="D155" s="109"/>
      <c r="E155" s="109"/>
      <c r="F155" s="109"/>
      <c r="G155" s="109"/>
      <c r="H155" s="58">
        <f>ROUND(G149-G153,2)</f>
        <v>287.16000000000003</v>
      </c>
    </row>
    <row r="156" spans="1:32" x14ac:dyDescent="0.2">
      <c r="A156" s="118"/>
      <c r="B156" s="118"/>
      <c r="C156" s="118"/>
      <c r="D156" s="118"/>
      <c r="E156" s="118"/>
      <c r="F156" s="118"/>
      <c r="G156" s="118"/>
      <c r="H156" s="118"/>
    </row>
    <row r="157" spans="1:32" x14ac:dyDescent="0.2">
      <c r="A157" s="120" t="s">
        <v>235</v>
      </c>
      <c r="B157" s="120"/>
      <c r="C157" s="120"/>
      <c r="D157" s="120"/>
      <c r="E157" s="120"/>
      <c r="F157" s="120"/>
      <c r="G157" s="120"/>
      <c r="H157" s="120"/>
      <c r="W157" s="3"/>
      <c r="X157" s="3"/>
      <c r="Y157" s="3"/>
      <c r="Z157" s="3"/>
      <c r="AA157" s="3"/>
      <c r="AB157" s="3"/>
      <c r="AC157" s="3"/>
      <c r="AD157" s="3"/>
      <c r="AE157" s="3"/>
      <c r="AF157" s="3"/>
    </row>
    <row r="158" spans="1:32" ht="25.5" x14ac:dyDescent="0.2">
      <c r="A158" s="50" t="s">
        <v>18</v>
      </c>
      <c r="B158" s="109" t="s">
        <v>33</v>
      </c>
      <c r="C158" s="109"/>
      <c r="D158" s="109"/>
      <c r="E158" s="50" t="s">
        <v>236</v>
      </c>
      <c r="F158" s="50" t="s">
        <v>221</v>
      </c>
      <c r="G158" s="72" t="s">
        <v>237</v>
      </c>
      <c r="H158" s="50" t="s">
        <v>238</v>
      </c>
      <c r="W158" s="3"/>
      <c r="X158" s="3"/>
      <c r="Y158" s="3"/>
      <c r="Z158" s="3"/>
      <c r="AA158" s="3"/>
      <c r="AB158" s="3"/>
      <c r="AC158" s="3"/>
      <c r="AD158" s="3"/>
      <c r="AE158" s="3"/>
      <c r="AF158" s="3"/>
    </row>
    <row r="159" spans="1:32" x14ac:dyDescent="0.2">
      <c r="A159" s="59">
        <v>1</v>
      </c>
      <c r="B159" s="134" t="str">
        <f>VLOOKUP(A159,Insumos!$A$3:$E$28,3, )</f>
        <v>Apito com cordão</v>
      </c>
      <c r="C159" s="134"/>
      <c r="D159" s="134"/>
      <c r="E159" s="59">
        <v>1</v>
      </c>
      <c r="F159" s="49">
        <f>VLOOKUP(A159,Insumos!$A$3:$E$28,5, )</f>
        <v>25.96</v>
      </c>
      <c r="G159" s="59">
        <v>12</v>
      </c>
      <c r="H159" s="49">
        <f t="shared" ref="H159:H168" si="1">ROUND(E159*F159/G159,2)</f>
        <v>2.16</v>
      </c>
      <c r="W159" s="3"/>
      <c r="X159" s="3"/>
      <c r="Y159" s="3"/>
      <c r="Z159" s="3"/>
      <c r="AA159" s="3"/>
      <c r="AB159" s="3"/>
      <c r="AC159" s="3"/>
      <c r="AD159" s="3"/>
      <c r="AE159" s="3"/>
      <c r="AF159" s="3"/>
    </row>
    <row r="160" spans="1:32" x14ac:dyDescent="0.2">
      <c r="A160" s="59">
        <v>2</v>
      </c>
      <c r="B160" s="134" t="str">
        <f>VLOOKUP(A160,Insumos!$A$3:$E$28,3, )</f>
        <v>Calça</v>
      </c>
      <c r="C160" s="134"/>
      <c r="D160" s="134"/>
      <c r="E160" s="59">
        <v>2</v>
      </c>
      <c r="F160" s="49">
        <f>VLOOKUP(A160,Insumos!$A$3:$E$28,5, )</f>
        <v>119.83</v>
      </c>
      <c r="G160" s="59">
        <v>12</v>
      </c>
      <c r="H160" s="49">
        <f t="shared" si="1"/>
        <v>19.97</v>
      </c>
      <c r="W160" s="3"/>
      <c r="X160" s="3"/>
      <c r="Y160" s="3"/>
      <c r="Z160" s="3"/>
      <c r="AA160" s="3"/>
      <c r="AB160" s="3"/>
      <c r="AC160" s="3"/>
      <c r="AD160" s="3"/>
      <c r="AE160" s="3"/>
      <c r="AF160" s="3"/>
    </row>
    <row r="161" spans="1:32" x14ac:dyDescent="0.2">
      <c r="A161" s="59">
        <v>3</v>
      </c>
      <c r="B161" s="134" t="str">
        <f>VLOOKUP(A161,Insumos!$A$3:$E$28,3, )</f>
        <v>Camisa de mangas curtas</v>
      </c>
      <c r="C161" s="134"/>
      <c r="D161" s="134"/>
      <c r="E161" s="59">
        <v>3</v>
      </c>
      <c r="F161" s="49">
        <f>VLOOKUP(A161,Insumos!$A$3:$E$28,5, )</f>
        <v>93</v>
      </c>
      <c r="G161" s="59">
        <v>12</v>
      </c>
      <c r="H161" s="49">
        <f t="shared" si="1"/>
        <v>23.25</v>
      </c>
      <c r="W161" s="3"/>
      <c r="X161" s="3"/>
      <c r="Y161" s="3"/>
      <c r="Z161" s="3"/>
      <c r="AA161" s="3"/>
      <c r="AB161" s="3"/>
      <c r="AC161" s="3"/>
      <c r="AD161" s="3"/>
      <c r="AE161" s="3"/>
      <c r="AF161" s="3"/>
    </row>
    <row r="162" spans="1:32" x14ac:dyDescent="0.2">
      <c r="A162" s="59">
        <v>4</v>
      </c>
      <c r="B162" s="134" t="str">
        <f>VLOOKUP(A162,Insumos!$A$3:$E$28,3, )</f>
        <v>Camisa de mangas longas</v>
      </c>
      <c r="C162" s="134"/>
      <c r="D162" s="134"/>
      <c r="E162" s="59">
        <v>2</v>
      </c>
      <c r="F162" s="49">
        <f>VLOOKUP(A162,Insumos!$A$3:$E$28,5, )</f>
        <v>102.25</v>
      </c>
      <c r="G162" s="59">
        <v>12</v>
      </c>
      <c r="H162" s="49">
        <f t="shared" si="1"/>
        <v>17.04</v>
      </c>
      <c r="W162" s="3"/>
      <c r="X162" s="3"/>
      <c r="Y162" s="3"/>
      <c r="Z162" s="3"/>
      <c r="AA162" s="3"/>
      <c r="AB162" s="3"/>
      <c r="AC162" s="3"/>
      <c r="AD162" s="3"/>
      <c r="AE162" s="3"/>
      <c r="AF162" s="3"/>
    </row>
    <row r="163" spans="1:32" x14ac:dyDescent="0.2">
      <c r="A163" s="59">
        <v>6</v>
      </c>
      <c r="B163" s="134" t="str">
        <f>VLOOKUP(A163,Insumos!$A$3:$E$28,3, )</f>
        <v>Capa para Colete Balístico</v>
      </c>
      <c r="C163" s="134"/>
      <c r="D163" s="134"/>
      <c r="E163" s="59">
        <v>1</v>
      </c>
      <c r="F163" s="49">
        <f>VLOOKUP(A163,Insumos!$A$3:$E$28,5, )</f>
        <v>285.75</v>
      </c>
      <c r="G163" s="59">
        <v>12</v>
      </c>
      <c r="H163" s="49">
        <f t="shared" si="1"/>
        <v>23.81</v>
      </c>
      <c r="W163" s="3"/>
      <c r="X163" s="3"/>
      <c r="Y163" s="3"/>
      <c r="Z163" s="3"/>
      <c r="AA163" s="3"/>
      <c r="AB163" s="3"/>
      <c r="AC163" s="3"/>
      <c r="AD163" s="3"/>
      <c r="AE163" s="3"/>
      <c r="AF163" s="3"/>
    </row>
    <row r="164" spans="1:32" x14ac:dyDescent="0.2">
      <c r="A164" s="59">
        <v>8</v>
      </c>
      <c r="B164" s="134" t="str">
        <f>VLOOKUP(A164,Insumos!$A$3:$E$28,3, )</f>
        <v>Cinto de Nylon</v>
      </c>
      <c r="C164" s="134"/>
      <c r="D164" s="134"/>
      <c r="E164" s="59">
        <v>1</v>
      </c>
      <c r="F164" s="49">
        <f>VLOOKUP(A164,Insumos!$A$3:$E$28,5, )</f>
        <v>26.07</v>
      </c>
      <c r="G164" s="59">
        <v>12</v>
      </c>
      <c r="H164" s="49">
        <f t="shared" si="1"/>
        <v>2.17</v>
      </c>
      <c r="W164" s="3"/>
      <c r="X164" s="3"/>
      <c r="Y164" s="3"/>
      <c r="Z164" s="3"/>
      <c r="AA164" s="3"/>
      <c r="AB164" s="3"/>
      <c r="AC164" s="3"/>
      <c r="AD164" s="3"/>
      <c r="AE164" s="3"/>
      <c r="AF164" s="3"/>
    </row>
    <row r="165" spans="1:32" x14ac:dyDescent="0.2">
      <c r="A165" s="59">
        <v>12</v>
      </c>
      <c r="B165" s="134" t="str">
        <f>VLOOKUP(A165,Insumos!$A$3:$E$28,3, )</f>
        <v>Crachá de identificação</v>
      </c>
      <c r="C165" s="134"/>
      <c r="D165" s="134"/>
      <c r="E165" s="59">
        <v>1</v>
      </c>
      <c r="F165" s="49">
        <f>VLOOKUP(A165,Insumos!$A$3:$E$28,5, )</f>
        <v>6.52</v>
      </c>
      <c r="G165" s="59">
        <v>12</v>
      </c>
      <c r="H165" s="49">
        <f t="shared" si="1"/>
        <v>0.54</v>
      </c>
      <c r="W165" s="3"/>
      <c r="X165" s="3"/>
      <c r="Y165" s="3"/>
      <c r="Z165" s="3"/>
      <c r="AA165" s="3"/>
      <c r="AB165" s="3"/>
      <c r="AC165" s="3"/>
      <c r="AD165" s="3"/>
      <c r="AE165" s="3"/>
      <c r="AF165" s="3"/>
    </row>
    <row r="166" spans="1:32" x14ac:dyDescent="0.2">
      <c r="A166" s="59">
        <v>15</v>
      </c>
      <c r="B166" s="134" t="str">
        <f>VLOOKUP(A166,Insumos!$A$3:$E$28,3, )</f>
        <v>Jaqueta de frio/Japona</v>
      </c>
      <c r="C166" s="134"/>
      <c r="D166" s="134"/>
      <c r="E166" s="59">
        <v>1</v>
      </c>
      <c r="F166" s="49">
        <f>VLOOKUP(A166,Insumos!$A$3:$E$28,5, )</f>
        <v>173.03</v>
      </c>
      <c r="G166" s="59">
        <v>12</v>
      </c>
      <c r="H166" s="49">
        <f t="shared" si="1"/>
        <v>14.42</v>
      </c>
      <c r="W166" s="3"/>
      <c r="X166" s="3"/>
      <c r="Y166" s="3"/>
      <c r="Z166" s="3"/>
      <c r="AA166" s="3"/>
      <c r="AB166" s="3"/>
      <c r="AC166" s="3"/>
      <c r="AD166" s="3"/>
      <c r="AE166" s="3"/>
      <c r="AF166" s="3"/>
    </row>
    <row r="167" spans="1:32" x14ac:dyDescent="0.2">
      <c r="A167" s="59">
        <v>21</v>
      </c>
      <c r="B167" s="134" t="str">
        <f>VLOOKUP(A167,Insumos!$A$3:$E$28,3, )</f>
        <v>Quepe/Boné com emblema</v>
      </c>
      <c r="C167" s="134"/>
      <c r="D167" s="134"/>
      <c r="E167" s="59">
        <v>1</v>
      </c>
      <c r="F167" s="49">
        <f>VLOOKUP(A167,Insumos!$A$3:$E$28,5, )</f>
        <v>47.3</v>
      </c>
      <c r="G167" s="59">
        <v>12</v>
      </c>
      <c r="H167" s="49">
        <f t="shared" si="1"/>
        <v>3.94</v>
      </c>
      <c r="W167" s="3"/>
      <c r="X167" s="3"/>
      <c r="Y167" s="3"/>
      <c r="Z167" s="3"/>
      <c r="AA167" s="3"/>
      <c r="AB167" s="3"/>
      <c r="AC167" s="3"/>
      <c r="AD167" s="3"/>
      <c r="AE167" s="3"/>
      <c r="AF167" s="3"/>
    </row>
    <row r="168" spans="1:32" x14ac:dyDescent="0.2">
      <c r="A168" s="59">
        <v>24</v>
      </c>
      <c r="B168" s="134" t="str">
        <f>VLOOKUP(A168,Insumos!$A$3:$E$28,3, )</f>
        <v>Sapatos/coturno</v>
      </c>
      <c r="C168" s="134"/>
      <c r="D168" s="134"/>
      <c r="E168" s="59">
        <v>2</v>
      </c>
      <c r="F168" s="49">
        <f>VLOOKUP(A168,Insumos!$A$3:$E$28,5, )</f>
        <v>129.58000000000001</v>
      </c>
      <c r="G168" s="59">
        <v>12</v>
      </c>
      <c r="H168" s="49">
        <f t="shared" si="1"/>
        <v>21.6</v>
      </c>
      <c r="W168" s="3"/>
      <c r="X168" s="3"/>
      <c r="Y168" s="3"/>
      <c r="Z168" s="3"/>
      <c r="AA168" s="3"/>
      <c r="AB168" s="3"/>
      <c r="AC168" s="3"/>
      <c r="AD168" s="3"/>
      <c r="AE168" s="3"/>
      <c r="AF168" s="3"/>
    </row>
    <row r="169" spans="1:32" x14ac:dyDescent="0.2">
      <c r="A169" s="135" t="s">
        <v>239</v>
      </c>
      <c r="B169" s="135"/>
      <c r="C169" s="135"/>
      <c r="D169" s="135"/>
      <c r="E169" s="135"/>
      <c r="F169" s="135"/>
      <c r="G169" s="135"/>
      <c r="H169" s="58">
        <f>SUM(H159:H168)</f>
        <v>128.9</v>
      </c>
      <c r="I169" s="1"/>
      <c r="W169" s="3"/>
      <c r="X169" s="3"/>
      <c r="Y169" s="3"/>
      <c r="Z169" s="3"/>
      <c r="AA169" s="3"/>
      <c r="AB169" s="3"/>
      <c r="AC169" s="3"/>
      <c r="AD169" s="3"/>
      <c r="AE169" s="3"/>
      <c r="AF169" s="3"/>
    </row>
    <row r="170" spans="1:32" hidden="1" x14ac:dyDescent="0.2">
      <c r="A170"/>
      <c r="B170"/>
      <c r="C170"/>
      <c r="D170"/>
      <c r="E170"/>
      <c r="F170"/>
      <c r="G170"/>
      <c r="H170"/>
    </row>
    <row r="171" spans="1:32" hidden="1" x14ac:dyDescent="0.2">
      <c r="A171"/>
      <c r="B171"/>
      <c r="C171"/>
      <c r="D171"/>
      <c r="E171"/>
      <c r="F171"/>
      <c r="G171"/>
      <c r="H171"/>
    </row>
    <row r="172" spans="1:32" hidden="1" x14ac:dyDescent="0.2">
      <c r="A172"/>
      <c r="B172"/>
      <c r="C172"/>
      <c r="D172"/>
      <c r="E172"/>
      <c r="F172"/>
      <c r="G172"/>
      <c r="H172"/>
    </row>
    <row r="173" spans="1:32" hidden="1" x14ac:dyDescent="0.2">
      <c r="A173"/>
      <c r="B173"/>
      <c r="C173"/>
      <c r="D173"/>
      <c r="E173"/>
      <c r="F173"/>
      <c r="G173"/>
      <c r="H173"/>
    </row>
    <row r="174" spans="1:32" hidden="1" x14ac:dyDescent="0.2">
      <c r="A174"/>
      <c r="B174"/>
      <c r="C174"/>
      <c r="D174"/>
      <c r="E174"/>
      <c r="F174"/>
      <c r="G174"/>
      <c r="H174"/>
    </row>
    <row r="175" spans="1:32" hidden="1" x14ac:dyDescent="0.2">
      <c r="A175"/>
      <c r="B175"/>
      <c r="C175"/>
      <c r="D175"/>
      <c r="E175"/>
      <c r="F175"/>
      <c r="G175"/>
      <c r="H175"/>
    </row>
    <row r="176" spans="1:32" hidden="1" x14ac:dyDescent="0.2">
      <c r="A176"/>
      <c r="B176"/>
      <c r="C176"/>
      <c r="D176"/>
      <c r="E176"/>
      <c r="F176"/>
      <c r="G176"/>
      <c r="H176"/>
    </row>
    <row r="177" spans="1:8" hidden="1" x14ac:dyDescent="0.2">
      <c r="A177"/>
      <c r="B177"/>
      <c r="C177"/>
      <c r="D177"/>
      <c r="E177"/>
      <c r="F177"/>
      <c r="G177"/>
      <c r="H177"/>
    </row>
    <row r="178" spans="1:8" hidden="1" x14ac:dyDescent="0.2">
      <c r="A178"/>
      <c r="B178"/>
      <c r="C178"/>
      <c r="D178"/>
      <c r="E178"/>
      <c r="F178"/>
      <c r="G178"/>
      <c r="H178"/>
    </row>
    <row r="179" spans="1:8" hidden="1" x14ac:dyDescent="0.2">
      <c r="A179"/>
      <c r="B179"/>
      <c r="C179"/>
      <c r="D179"/>
      <c r="E179"/>
      <c r="F179"/>
      <c r="G179"/>
      <c r="H179"/>
    </row>
    <row r="180" spans="1:8" hidden="1" x14ac:dyDescent="0.2">
      <c r="A180"/>
      <c r="B180"/>
      <c r="C180"/>
      <c r="D180"/>
      <c r="E180"/>
      <c r="F180"/>
      <c r="G180"/>
      <c r="H180"/>
    </row>
    <row r="181" spans="1:8" hidden="1" x14ac:dyDescent="0.2">
      <c r="A181"/>
      <c r="B181"/>
      <c r="C181"/>
      <c r="D181"/>
      <c r="E181"/>
      <c r="F181"/>
      <c r="G181"/>
      <c r="H181"/>
    </row>
    <row r="182" spans="1:8" hidden="1" x14ac:dyDescent="0.2">
      <c r="A182"/>
      <c r="B182"/>
      <c r="C182"/>
      <c r="D182"/>
      <c r="E182"/>
      <c r="F182"/>
      <c r="G182"/>
      <c r="H182"/>
    </row>
    <row r="183" spans="1:8" hidden="1" x14ac:dyDescent="0.2">
      <c r="A183"/>
      <c r="B183"/>
      <c r="C183"/>
      <c r="D183"/>
      <c r="E183"/>
      <c r="F183"/>
      <c r="G183"/>
      <c r="H183"/>
    </row>
    <row r="184" spans="1:8" hidden="1" x14ac:dyDescent="0.2">
      <c r="A184"/>
      <c r="B184"/>
      <c r="C184"/>
      <c r="D184"/>
      <c r="E184"/>
      <c r="F184"/>
      <c r="G184"/>
      <c r="H184"/>
    </row>
    <row r="185" spans="1:8" hidden="1" x14ac:dyDescent="0.2">
      <c r="A185"/>
      <c r="B185"/>
      <c r="C185"/>
      <c r="D185"/>
      <c r="E185"/>
      <c r="F185"/>
      <c r="G185"/>
      <c r="H185"/>
    </row>
    <row r="186" spans="1:8" hidden="1" x14ac:dyDescent="0.2">
      <c r="A186"/>
      <c r="B186"/>
      <c r="C186"/>
      <c r="D186"/>
      <c r="E186"/>
      <c r="F186"/>
      <c r="G186"/>
      <c r="H186"/>
    </row>
    <row r="187" spans="1:8" hidden="1" x14ac:dyDescent="0.2">
      <c r="A187"/>
      <c r="B187"/>
      <c r="C187"/>
      <c r="D187"/>
      <c r="E187"/>
      <c r="F187"/>
      <c r="G187"/>
      <c r="H187"/>
    </row>
    <row r="188" spans="1:8" hidden="1" x14ac:dyDescent="0.2">
      <c r="A188"/>
      <c r="B188"/>
      <c r="C188"/>
      <c r="D188"/>
      <c r="E188"/>
      <c r="F188"/>
      <c r="G188"/>
      <c r="H188"/>
    </row>
    <row r="189" spans="1:8" hidden="1" x14ac:dyDescent="0.2">
      <c r="A189"/>
      <c r="B189"/>
      <c r="C189"/>
      <c r="D189"/>
      <c r="E189"/>
      <c r="F189"/>
      <c r="G189"/>
      <c r="H189"/>
    </row>
    <row r="190" spans="1:8" hidden="1" x14ac:dyDescent="0.2">
      <c r="A190"/>
      <c r="B190"/>
      <c r="C190"/>
      <c r="D190"/>
      <c r="E190"/>
      <c r="F190"/>
      <c r="G190"/>
      <c r="H190"/>
    </row>
    <row r="191" spans="1:8" hidden="1" x14ac:dyDescent="0.2">
      <c r="A191"/>
      <c r="B191"/>
      <c r="C191"/>
      <c r="D191"/>
      <c r="E191"/>
      <c r="F191"/>
      <c r="G191"/>
      <c r="H191"/>
    </row>
    <row r="192" spans="1:8" hidden="1" x14ac:dyDescent="0.2">
      <c r="A192"/>
      <c r="B192"/>
      <c r="C192"/>
      <c r="D192"/>
      <c r="E192"/>
      <c r="F192"/>
      <c r="G192"/>
      <c r="H192"/>
    </row>
    <row r="193" spans="1:8" hidden="1" x14ac:dyDescent="0.2">
      <c r="A193"/>
      <c r="B193"/>
      <c r="C193"/>
      <c r="D193"/>
      <c r="E193"/>
      <c r="F193"/>
      <c r="G193"/>
      <c r="H193"/>
    </row>
    <row r="194" spans="1:8" hidden="1" x14ac:dyDescent="0.2">
      <c r="A194"/>
      <c r="B194"/>
      <c r="C194"/>
      <c r="D194"/>
      <c r="E194"/>
      <c r="F194"/>
      <c r="G194"/>
      <c r="H194"/>
    </row>
    <row r="195" spans="1:8" hidden="1" x14ac:dyDescent="0.2">
      <c r="A195"/>
      <c r="B195"/>
      <c r="C195"/>
      <c r="D195"/>
      <c r="E195"/>
      <c r="F195"/>
      <c r="G195"/>
      <c r="H195"/>
    </row>
    <row r="196" spans="1:8" hidden="1" x14ac:dyDescent="0.2">
      <c r="A196"/>
      <c r="B196"/>
      <c r="C196"/>
      <c r="D196"/>
      <c r="E196"/>
      <c r="F196"/>
      <c r="G196"/>
      <c r="H196"/>
    </row>
    <row r="197" spans="1:8" hidden="1" x14ac:dyDescent="0.2">
      <c r="A197"/>
      <c r="B197"/>
      <c r="C197"/>
      <c r="D197"/>
      <c r="E197"/>
      <c r="F197"/>
      <c r="G197"/>
      <c r="H197"/>
    </row>
    <row r="198" spans="1:8" hidden="1" x14ac:dyDescent="0.2"/>
    <row r="199" spans="1:8" hidden="1" x14ac:dyDescent="0.2"/>
  </sheetData>
  <mergeCells count="198">
    <mergeCell ref="B164:D164"/>
    <mergeCell ref="B165:D165"/>
    <mergeCell ref="B166:D166"/>
    <mergeCell ref="B167:D167"/>
    <mergeCell ref="B168:D168"/>
    <mergeCell ref="A169:G169"/>
    <mergeCell ref="A155:G155"/>
    <mergeCell ref="A156:H156"/>
    <mergeCell ref="A157:H157"/>
    <mergeCell ref="B158:D158"/>
    <mergeCell ref="B159:D159"/>
    <mergeCell ref="B160:D160"/>
    <mergeCell ref="B161:D161"/>
    <mergeCell ref="B162:D162"/>
    <mergeCell ref="B163:D163"/>
    <mergeCell ref="A150:H150"/>
    <mergeCell ref="A151:H151"/>
    <mergeCell ref="A152:C152"/>
    <mergeCell ref="D152:F152"/>
    <mergeCell ref="G152:H152"/>
    <mergeCell ref="A153:C153"/>
    <mergeCell ref="D153:F153"/>
    <mergeCell ref="G153:H153"/>
    <mergeCell ref="A154:H154"/>
    <mergeCell ref="A143:H143"/>
    <mergeCell ref="A144:G144"/>
    <mergeCell ref="A145:H145"/>
    <mergeCell ref="A146:H146"/>
    <mergeCell ref="A147:H147"/>
    <mergeCell ref="A148:C148"/>
    <mergeCell ref="D148:F148"/>
    <mergeCell ref="G148:H148"/>
    <mergeCell ref="A149:C149"/>
    <mergeCell ref="D149:F149"/>
    <mergeCell ref="G149:H149"/>
    <mergeCell ref="A138:C138"/>
    <mergeCell ref="D138:E138"/>
    <mergeCell ref="F138:G138"/>
    <mergeCell ref="A139:H139"/>
    <mergeCell ref="A140:H140"/>
    <mergeCell ref="A141:C141"/>
    <mergeCell ref="D141:E141"/>
    <mergeCell ref="F141:G141"/>
    <mergeCell ref="A142:C142"/>
    <mergeCell ref="D142:E142"/>
    <mergeCell ref="F142:G142"/>
    <mergeCell ref="A130:G130"/>
    <mergeCell ref="A131:G131"/>
    <mergeCell ref="A132:G132"/>
    <mergeCell ref="A133:H133"/>
    <mergeCell ref="A134:H134"/>
    <mergeCell ref="A135:H135"/>
    <mergeCell ref="A136:H136"/>
    <mergeCell ref="A137:C137"/>
    <mergeCell ref="D137:E137"/>
    <mergeCell ref="F137:G137"/>
    <mergeCell ref="B121:G121"/>
    <mergeCell ref="A122:G122"/>
    <mergeCell ref="A123:H123"/>
    <mergeCell ref="A124:H124"/>
    <mergeCell ref="A125:G125"/>
    <mergeCell ref="A126:G126"/>
    <mergeCell ref="A127:G127"/>
    <mergeCell ref="A128:G128"/>
    <mergeCell ref="A129:G129"/>
    <mergeCell ref="B112:E112"/>
    <mergeCell ref="A113:G113"/>
    <mergeCell ref="A114:H114"/>
    <mergeCell ref="A115:G115"/>
    <mergeCell ref="B116:G116"/>
    <mergeCell ref="B117:G117"/>
    <mergeCell ref="B118:G118"/>
    <mergeCell ref="B119:G119"/>
    <mergeCell ref="B120:G120"/>
    <mergeCell ref="B103:G103"/>
    <mergeCell ref="A104:G104"/>
    <mergeCell ref="A105:H105"/>
    <mergeCell ref="A106:H106"/>
    <mergeCell ref="A107:E107"/>
    <mergeCell ref="B108:E108"/>
    <mergeCell ref="B109:E109"/>
    <mergeCell ref="B110:H110"/>
    <mergeCell ref="B111:E111"/>
    <mergeCell ref="A94:G94"/>
    <mergeCell ref="B95:F95"/>
    <mergeCell ref="A96:G96"/>
    <mergeCell ref="A97:H97"/>
    <mergeCell ref="A98:H98"/>
    <mergeCell ref="A99:G99"/>
    <mergeCell ref="B100:G100"/>
    <mergeCell ref="B101:G101"/>
    <mergeCell ref="B102:G102"/>
    <mergeCell ref="A85:H85"/>
    <mergeCell ref="A86:G86"/>
    <mergeCell ref="B87:F87"/>
    <mergeCell ref="B88:F88"/>
    <mergeCell ref="B89:F89"/>
    <mergeCell ref="B90:F90"/>
    <mergeCell ref="B91:F91"/>
    <mergeCell ref="B92:F92"/>
    <mergeCell ref="B93:F93"/>
    <mergeCell ref="A76:G76"/>
    <mergeCell ref="A77:G77"/>
    <mergeCell ref="B78:E78"/>
    <mergeCell ref="B79:E79"/>
    <mergeCell ref="B80:F80"/>
    <mergeCell ref="B81:F81"/>
    <mergeCell ref="A82:F82"/>
    <mergeCell ref="A83:G83"/>
    <mergeCell ref="A84:H84"/>
    <mergeCell ref="A67:H67"/>
    <mergeCell ref="A68:H68"/>
    <mergeCell ref="A69:G69"/>
    <mergeCell ref="B70:E70"/>
    <mergeCell ref="B71:E71"/>
    <mergeCell ref="B72:F72"/>
    <mergeCell ref="B73:F73"/>
    <mergeCell ref="A74:F74"/>
    <mergeCell ref="A75:H75"/>
    <mergeCell ref="B58:G58"/>
    <mergeCell ref="B59:G59"/>
    <mergeCell ref="A60:G60"/>
    <mergeCell ref="A61:H61"/>
    <mergeCell ref="A62:H62"/>
    <mergeCell ref="B63:G63"/>
    <mergeCell ref="B64:G64"/>
    <mergeCell ref="B65:G65"/>
    <mergeCell ref="A66:G66"/>
    <mergeCell ref="B49:F49"/>
    <mergeCell ref="B50:F50"/>
    <mergeCell ref="B51:F51"/>
    <mergeCell ref="B52:F52"/>
    <mergeCell ref="B53:F53"/>
    <mergeCell ref="A54:F54"/>
    <mergeCell ref="A55:H55"/>
    <mergeCell ref="B56:G56"/>
    <mergeCell ref="B57:G57"/>
    <mergeCell ref="B39:F39"/>
    <mergeCell ref="B40:F40"/>
    <mergeCell ref="B41:F41"/>
    <mergeCell ref="A42:G42"/>
    <mergeCell ref="A43:H43"/>
    <mergeCell ref="A44:G44"/>
    <mergeCell ref="B45:F45"/>
    <mergeCell ref="B46:F46"/>
    <mergeCell ref="B47:F47"/>
    <mergeCell ref="A29:G29"/>
    <mergeCell ref="A30:H30"/>
    <mergeCell ref="B31:G31"/>
    <mergeCell ref="B33:G33"/>
    <mergeCell ref="A34:G34"/>
    <mergeCell ref="A35:H35"/>
    <mergeCell ref="A36:G36"/>
    <mergeCell ref="A37:H37"/>
    <mergeCell ref="A38:H38"/>
    <mergeCell ref="B21:F21"/>
    <mergeCell ref="G21:H21"/>
    <mergeCell ref="A22:H22"/>
    <mergeCell ref="A23:H23"/>
    <mergeCell ref="B24:F24"/>
    <mergeCell ref="B25:F25"/>
    <mergeCell ref="B26:F26"/>
    <mergeCell ref="B27:F27"/>
    <mergeCell ref="B28:F28"/>
    <mergeCell ref="B16:F16"/>
    <mergeCell ref="G16:H16"/>
    <mergeCell ref="B17:F17"/>
    <mergeCell ref="G17:H17"/>
    <mergeCell ref="B18:F18"/>
    <mergeCell ref="G18:H18"/>
    <mergeCell ref="B19:F19"/>
    <mergeCell ref="G19:H19"/>
    <mergeCell ref="B20:F20"/>
    <mergeCell ref="G20:H20"/>
    <mergeCell ref="B32:G32"/>
    <mergeCell ref="A1:H1"/>
    <mergeCell ref="A2:H2"/>
    <mergeCell ref="A3:H3"/>
    <mergeCell ref="A4:H4"/>
    <mergeCell ref="A5:H5"/>
    <mergeCell ref="A6:B6"/>
    <mergeCell ref="C6:H6"/>
    <mergeCell ref="A7:B7"/>
    <mergeCell ref="C7:H7"/>
    <mergeCell ref="A8:H8"/>
    <mergeCell ref="A9:H9"/>
    <mergeCell ref="B10:D10"/>
    <mergeCell ref="E10:H10"/>
    <mergeCell ref="B11:F11"/>
    <mergeCell ref="G11:H11"/>
    <mergeCell ref="B12:F12"/>
    <mergeCell ref="G12:H12"/>
    <mergeCell ref="B13:F13"/>
    <mergeCell ref="G13:H13"/>
    <mergeCell ref="B14:F14"/>
    <mergeCell ref="G14:H14"/>
    <mergeCell ref="B15:F15"/>
    <mergeCell ref="G15:H15"/>
  </mergeCells>
  <printOptions horizontalCentered="1"/>
  <pageMargins left="0.39374999999999999" right="0.39374999999999999" top="0.39374999999999999" bottom="0.39374999999999999" header="0.51180555555555496" footer="0.51180555555555496"/>
  <pageSetup paperSize="9" scale="74" fitToWidth="0" fitToHeight="0" orientation="portrait" useFirstPageNumber="1" horizontalDpi="300" verticalDpi="300" r:id="rId1"/>
  <rowBreaks count="1" manualBreakCount="1">
    <brk id="1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7BC65"/>
    <pageSetUpPr fitToPage="1"/>
  </sheetPr>
  <dimension ref="A1:AG175"/>
  <sheetViews>
    <sheetView zoomScaleNormal="100" workbookViewId="0">
      <selection sqref="A1:H1"/>
    </sheetView>
  </sheetViews>
  <sheetFormatPr defaultColWidth="0" defaultRowHeight="12.75" zeroHeight="1" x14ac:dyDescent="0.2"/>
  <cols>
    <col min="1" max="1" width="5.5703125" style="73" customWidth="1"/>
    <col min="2" max="2" width="17.42578125" style="73" customWidth="1"/>
    <col min="3" max="3" width="19.5703125" style="73" customWidth="1"/>
    <col min="4" max="4" width="19.85546875" style="73" customWidth="1"/>
    <col min="5" max="5" width="16.42578125" style="73" customWidth="1"/>
    <col min="6" max="6" width="13.85546875" style="73" customWidth="1"/>
    <col min="7" max="7" width="14.7109375" style="53" customWidth="1"/>
    <col min="8" max="8" width="18.85546875" style="64" customWidth="1"/>
    <col min="9" max="9" width="51" style="23" customWidth="1"/>
    <col min="10" max="33" width="11.5703125" style="3" hidden="1" customWidth="1"/>
    <col min="34" max="1024" width="11.5703125" hidden="1" customWidth="1"/>
    <col min="1025" max="16384" width="11.5703125" hidden="1"/>
  </cols>
  <sheetData>
    <row r="1" spans="1:33" ht="15.75" x14ac:dyDescent="0.2">
      <c r="A1" s="107" t="s">
        <v>1</v>
      </c>
      <c r="B1" s="107"/>
      <c r="C1" s="107"/>
      <c r="D1" s="107"/>
      <c r="E1" s="107"/>
      <c r="F1" s="107"/>
      <c r="G1" s="107"/>
      <c r="H1" s="107"/>
      <c r="I1" s="2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15.75" x14ac:dyDescent="0.2">
      <c r="A2" s="107" t="s">
        <v>2</v>
      </c>
      <c r="B2" s="107"/>
      <c r="C2" s="107"/>
      <c r="D2" s="107"/>
      <c r="E2" s="107"/>
      <c r="F2" s="107"/>
      <c r="G2" s="107"/>
      <c r="H2" s="107"/>
      <c r="I2" s="2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5.75" x14ac:dyDescent="0.2">
      <c r="A3" s="107" t="s">
        <v>3</v>
      </c>
      <c r="B3" s="107"/>
      <c r="C3" s="107"/>
      <c r="D3" s="107"/>
      <c r="E3" s="107"/>
      <c r="F3" s="107"/>
      <c r="G3" s="107"/>
      <c r="H3" s="107"/>
      <c r="I3" s="2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</row>
    <row r="4" spans="1:33" ht="15.75" x14ac:dyDescent="0.2">
      <c r="A4" s="108"/>
      <c r="B4" s="108"/>
      <c r="C4" s="108"/>
      <c r="D4" s="108"/>
      <c r="E4" s="108"/>
      <c r="F4" s="108"/>
      <c r="G4" s="108"/>
      <c r="H4" s="108"/>
      <c r="I4" s="24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33" ht="15.75" x14ac:dyDescent="0.2">
      <c r="A5" s="107" t="s">
        <v>77</v>
      </c>
      <c r="B5" s="107"/>
      <c r="C5" s="107"/>
      <c r="D5" s="107"/>
      <c r="E5" s="107"/>
      <c r="F5" s="107"/>
      <c r="G5" s="107"/>
      <c r="H5" s="107"/>
      <c r="I5" s="24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3" x14ac:dyDescent="0.2">
      <c r="A6" s="109" t="s">
        <v>78</v>
      </c>
      <c r="B6" s="109"/>
      <c r="C6" s="95" t="s">
        <v>240</v>
      </c>
      <c r="D6" s="95"/>
      <c r="E6" s="95"/>
      <c r="F6" s="95"/>
      <c r="G6" s="95"/>
      <c r="H6" s="95"/>
    </row>
    <row r="7" spans="1:33" x14ac:dyDescent="0.2">
      <c r="A7" s="109" t="s">
        <v>79</v>
      </c>
      <c r="B7" s="109"/>
      <c r="C7" s="135" t="s">
        <v>241</v>
      </c>
      <c r="D7" s="135"/>
      <c r="E7" s="135"/>
      <c r="F7" s="135"/>
      <c r="G7" s="135"/>
      <c r="H7" s="135"/>
    </row>
    <row r="8" spans="1:33" x14ac:dyDescent="0.2">
      <c r="A8" s="110"/>
      <c r="B8" s="110"/>
      <c r="C8" s="110"/>
      <c r="D8" s="110"/>
      <c r="E8" s="110"/>
      <c r="F8" s="110"/>
      <c r="G8" s="110"/>
      <c r="H8" s="110"/>
    </row>
    <row r="9" spans="1:33" x14ac:dyDescent="0.2">
      <c r="A9" s="111" t="s">
        <v>80</v>
      </c>
      <c r="B9" s="111"/>
      <c r="C9" s="111"/>
      <c r="D9" s="111"/>
      <c r="E9" s="111"/>
      <c r="F9" s="111"/>
      <c r="G9" s="111"/>
      <c r="H9" s="111"/>
    </row>
    <row r="10" spans="1:33" x14ac:dyDescent="0.2">
      <c r="A10" s="25" t="s">
        <v>81</v>
      </c>
      <c r="B10" s="112" t="s">
        <v>82</v>
      </c>
      <c r="C10" s="112"/>
      <c r="D10" s="112"/>
      <c r="E10" s="95" t="s">
        <v>242</v>
      </c>
      <c r="F10" s="95"/>
      <c r="G10" s="95"/>
      <c r="H10" s="95"/>
    </row>
    <row r="11" spans="1:33" x14ac:dyDescent="0.2">
      <c r="A11" s="25" t="s">
        <v>84</v>
      </c>
      <c r="B11" s="112" t="s">
        <v>85</v>
      </c>
      <c r="C11" s="112"/>
      <c r="D11" s="112"/>
      <c r="E11" s="112"/>
      <c r="F11" s="112"/>
      <c r="G11" s="113">
        <f>Proposta!C7</f>
        <v>44967</v>
      </c>
      <c r="H11" s="113"/>
    </row>
    <row r="12" spans="1:33" x14ac:dyDescent="0.2">
      <c r="A12" s="25" t="s">
        <v>86</v>
      </c>
      <c r="B12" s="112" t="s">
        <v>87</v>
      </c>
      <c r="C12" s="112"/>
      <c r="D12" s="112"/>
      <c r="E12" s="112"/>
      <c r="F12" s="112"/>
      <c r="G12" s="95" t="s">
        <v>88</v>
      </c>
      <c r="H12" s="95"/>
    </row>
    <row r="13" spans="1:33" x14ac:dyDescent="0.2">
      <c r="A13" s="25" t="s">
        <v>89</v>
      </c>
      <c r="B13" s="112" t="s">
        <v>90</v>
      </c>
      <c r="C13" s="112"/>
      <c r="D13" s="112"/>
      <c r="E13" s="112"/>
      <c r="F13" s="112"/>
      <c r="G13" s="95" t="s">
        <v>91</v>
      </c>
      <c r="H13" s="95"/>
    </row>
    <row r="14" spans="1:33" x14ac:dyDescent="0.2">
      <c r="A14" s="25" t="s">
        <v>92</v>
      </c>
      <c r="B14" s="112" t="s">
        <v>93</v>
      </c>
      <c r="C14" s="112"/>
      <c r="D14" s="112"/>
      <c r="E14" s="112"/>
      <c r="F14" s="112"/>
      <c r="G14" s="95" t="s">
        <v>94</v>
      </c>
      <c r="H14" s="95"/>
    </row>
    <row r="15" spans="1:33" x14ac:dyDescent="0.2">
      <c r="A15" s="25" t="s">
        <v>95</v>
      </c>
      <c r="B15" s="112" t="s">
        <v>96</v>
      </c>
      <c r="C15" s="112"/>
      <c r="D15" s="112"/>
      <c r="E15" s="112"/>
      <c r="F15" s="112"/>
      <c r="G15" s="95" t="s">
        <v>275</v>
      </c>
      <c r="H15" s="95"/>
      <c r="I15" s="77" t="s">
        <v>276</v>
      </c>
    </row>
    <row r="16" spans="1:33" ht="14.65" customHeight="1" x14ac:dyDescent="0.2">
      <c r="A16" s="25" t="s">
        <v>97</v>
      </c>
      <c r="B16" s="114" t="s">
        <v>98</v>
      </c>
      <c r="C16" s="114"/>
      <c r="D16" s="114"/>
      <c r="E16" s="114"/>
      <c r="F16" s="114"/>
      <c r="G16" s="115" t="s">
        <v>99</v>
      </c>
      <c r="H16" s="115"/>
    </row>
    <row r="17" spans="1:8" x14ac:dyDescent="0.2">
      <c r="A17" s="25" t="s">
        <v>100</v>
      </c>
      <c r="B17" s="106" t="s">
        <v>101</v>
      </c>
      <c r="C17" s="106"/>
      <c r="D17" s="106"/>
      <c r="E17" s="106"/>
      <c r="F17" s="106"/>
      <c r="G17" s="116">
        <v>44593</v>
      </c>
      <c r="H17" s="116"/>
    </row>
    <row r="18" spans="1:8" x14ac:dyDescent="0.2">
      <c r="A18" s="25" t="s">
        <v>102</v>
      </c>
      <c r="B18" s="112" t="s">
        <v>103</v>
      </c>
      <c r="C18" s="112"/>
      <c r="D18" s="112"/>
      <c r="E18" s="112"/>
      <c r="F18" s="112"/>
      <c r="G18" s="95">
        <v>12</v>
      </c>
      <c r="H18" s="95">
        <v>30</v>
      </c>
    </row>
    <row r="19" spans="1:8" x14ac:dyDescent="0.2">
      <c r="A19" s="25" t="s">
        <v>104</v>
      </c>
      <c r="B19" s="112" t="s">
        <v>105</v>
      </c>
      <c r="C19" s="112"/>
      <c r="D19" s="112"/>
      <c r="E19" s="112"/>
      <c r="F19" s="112"/>
      <c r="G19" s="95" t="s">
        <v>106</v>
      </c>
      <c r="H19" s="95"/>
    </row>
    <row r="20" spans="1:8" x14ac:dyDescent="0.2">
      <c r="A20" s="25" t="s">
        <v>107</v>
      </c>
      <c r="B20" s="112" t="s">
        <v>21</v>
      </c>
      <c r="C20" s="112"/>
      <c r="D20" s="112"/>
      <c r="E20" s="112"/>
      <c r="F20" s="112"/>
      <c r="G20" s="95">
        <v>2</v>
      </c>
      <c r="H20" s="95"/>
    </row>
    <row r="21" spans="1:8" x14ac:dyDescent="0.2">
      <c r="A21" s="25" t="s">
        <v>108</v>
      </c>
      <c r="B21" s="114" t="s">
        <v>109</v>
      </c>
      <c r="C21" s="114"/>
      <c r="D21" s="114"/>
      <c r="E21" s="114"/>
      <c r="F21" s="114"/>
      <c r="G21" s="117">
        <v>2</v>
      </c>
      <c r="H21" s="117"/>
    </row>
    <row r="22" spans="1:8" x14ac:dyDescent="0.2">
      <c r="A22" s="118"/>
      <c r="B22" s="118"/>
      <c r="C22" s="118"/>
      <c r="D22" s="118"/>
      <c r="E22" s="118"/>
      <c r="F22" s="118"/>
      <c r="G22" s="118"/>
      <c r="H22" s="118"/>
    </row>
    <row r="23" spans="1:8" x14ac:dyDescent="0.2">
      <c r="A23" s="119" t="s">
        <v>110</v>
      </c>
      <c r="B23" s="119"/>
      <c r="C23" s="119"/>
      <c r="D23" s="119"/>
      <c r="E23" s="119"/>
      <c r="F23" s="119"/>
      <c r="G23" s="119"/>
      <c r="H23" s="119"/>
    </row>
    <row r="24" spans="1:8" x14ac:dyDescent="0.2">
      <c r="A24" s="50" t="s">
        <v>111</v>
      </c>
      <c r="B24" s="109" t="s">
        <v>112</v>
      </c>
      <c r="C24" s="109"/>
      <c r="D24" s="109"/>
      <c r="E24" s="109"/>
      <c r="F24" s="109"/>
      <c r="G24" s="51" t="s">
        <v>113</v>
      </c>
      <c r="H24" s="52" t="s">
        <v>114</v>
      </c>
    </row>
    <row r="25" spans="1:8" x14ac:dyDescent="0.2">
      <c r="A25" s="70" t="s">
        <v>81</v>
      </c>
      <c r="B25" s="106" t="s">
        <v>115</v>
      </c>
      <c r="C25" s="106"/>
      <c r="D25" s="106"/>
      <c r="E25" s="106"/>
      <c r="F25" s="106"/>
      <c r="G25" s="71"/>
      <c r="H25" s="55">
        <v>1764.4</v>
      </c>
    </row>
    <row r="26" spans="1:8" x14ac:dyDescent="0.2">
      <c r="A26" s="70" t="s">
        <v>84</v>
      </c>
      <c r="B26" s="106" t="s">
        <v>116</v>
      </c>
      <c r="C26" s="106"/>
      <c r="D26" s="106"/>
      <c r="E26" s="106"/>
      <c r="F26" s="106"/>
      <c r="G26" s="71">
        <v>0.3</v>
      </c>
      <c r="H26" s="55">
        <f>H25*G26</f>
        <v>529.32000000000005</v>
      </c>
    </row>
    <row r="27" spans="1:8" x14ac:dyDescent="0.2">
      <c r="A27" s="70" t="s">
        <v>86</v>
      </c>
      <c r="B27" s="106" t="s">
        <v>117</v>
      </c>
      <c r="C27" s="106"/>
      <c r="D27" s="106"/>
      <c r="E27" s="106"/>
      <c r="F27" s="106"/>
      <c r="G27" s="71">
        <v>0.2</v>
      </c>
      <c r="H27" s="55">
        <f>((H25+H26)/220*G27)*7*15</f>
        <v>218.94600000000003</v>
      </c>
    </row>
    <row r="28" spans="1:8" x14ac:dyDescent="0.2">
      <c r="A28" s="70" t="s">
        <v>89</v>
      </c>
      <c r="B28" s="106" t="s">
        <v>118</v>
      </c>
      <c r="C28" s="106"/>
      <c r="D28" s="106"/>
      <c r="E28" s="106"/>
      <c r="F28" s="106"/>
      <c r="G28" s="71"/>
      <c r="H28" s="55">
        <f>((H25+H26)/220)*1.2*15</f>
        <v>187.66800000000003</v>
      </c>
    </row>
    <row r="29" spans="1:8" x14ac:dyDescent="0.2">
      <c r="A29" s="109" t="s">
        <v>120</v>
      </c>
      <c r="B29" s="109"/>
      <c r="C29" s="109"/>
      <c r="D29" s="109"/>
      <c r="E29" s="109"/>
      <c r="F29" s="109"/>
      <c r="G29" s="109"/>
      <c r="H29" s="56">
        <f>SUM(H25:H28)</f>
        <v>2700.3340000000003</v>
      </c>
    </row>
    <row r="30" spans="1:8" x14ac:dyDescent="0.2">
      <c r="A30" s="118"/>
      <c r="B30" s="118"/>
      <c r="C30" s="118"/>
      <c r="D30" s="118"/>
      <c r="E30" s="118"/>
      <c r="F30" s="118"/>
      <c r="G30" s="118"/>
      <c r="H30" s="118"/>
    </row>
    <row r="31" spans="1:8" x14ac:dyDescent="0.2">
      <c r="A31" s="57" t="s">
        <v>121</v>
      </c>
      <c r="B31" s="109" t="s">
        <v>122</v>
      </c>
      <c r="C31" s="109"/>
      <c r="D31" s="109"/>
      <c r="E31" s="109"/>
      <c r="F31" s="109"/>
      <c r="G31" s="109"/>
      <c r="H31" s="52" t="s">
        <v>114</v>
      </c>
    </row>
    <row r="32" spans="1:8" x14ac:dyDescent="0.2">
      <c r="A32" s="70" t="s">
        <v>92</v>
      </c>
      <c r="B32" s="106" t="s">
        <v>123</v>
      </c>
      <c r="C32" s="106"/>
      <c r="D32" s="106"/>
      <c r="E32" s="106"/>
      <c r="F32" s="106"/>
      <c r="G32" s="106"/>
      <c r="H32" s="55">
        <f>(H25/220)*1.5*15</f>
        <v>180.45</v>
      </c>
    </row>
    <row r="33" spans="1:9" x14ac:dyDescent="0.2">
      <c r="A33" s="70" t="s">
        <v>95</v>
      </c>
      <c r="B33" s="106" t="s">
        <v>119</v>
      </c>
      <c r="C33" s="106"/>
      <c r="D33" s="106"/>
      <c r="E33" s="106"/>
      <c r="F33" s="106"/>
      <c r="G33" s="106"/>
      <c r="H33" s="55">
        <f>1.34*15</f>
        <v>20.100000000000001</v>
      </c>
    </row>
    <row r="34" spans="1:9" x14ac:dyDescent="0.2">
      <c r="A34" s="109" t="s">
        <v>124</v>
      </c>
      <c r="B34" s="109"/>
      <c r="C34" s="109"/>
      <c r="D34" s="109"/>
      <c r="E34" s="109"/>
      <c r="F34" s="109"/>
      <c r="G34" s="109"/>
      <c r="H34" s="56">
        <f>SUM(H32:H33)</f>
        <v>200.54999999999998</v>
      </c>
    </row>
    <row r="35" spans="1:9" x14ac:dyDescent="0.2">
      <c r="A35" s="118"/>
      <c r="B35" s="118"/>
      <c r="C35" s="118"/>
      <c r="D35" s="118"/>
      <c r="E35" s="118"/>
      <c r="F35" s="118"/>
      <c r="G35" s="118"/>
      <c r="H35" s="118"/>
    </row>
    <row r="36" spans="1:9" x14ac:dyDescent="0.2">
      <c r="A36" s="109" t="s">
        <v>125</v>
      </c>
      <c r="B36" s="109"/>
      <c r="C36" s="109"/>
      <c r="D36" s="109"/>
      <c r="E36" s="109"/>
      <c r="F36" s="109"/>
      <c r="G36" s="109"/>
      <c r="H36" s="56">
        <f>SUM(H29,H34)</f>
        <v>2900.8840000000005</v>
      </c>
    </row>
    <row r="37" spans="1:9" x14ac:dyDescent="0.2">
      <c r="A37" s="118"/>
      <c r="B37" s="118"/>
      <c r="C37" s="118"/>
      <c r="D37" s="118"/>
      <c r="E37" s="118"/>
      <c r="F37" s="118"/>
      <c r="G37" s="118"/>
      <c r="H37" s="118"/>
    </row>
    <row r="38" spans="1:9" x14ac:dyDescent="0.2">
      <c r="A38" s="120" t="s">
        <v>126</v>
      </c>
      <c r="B38" s="120"/>
      <c r="C38" s="120"/>
      <c r="D38" s="120"/>
      <c r="E38" s="120"/>
      <c r="F38" s="120"/>
      <c r="G38" s="120"/>
      <c r="H38" s="120"/>
    </row>
    <row r="39" spans="1:9" x14ac:dyDescent="0.2">
      <c r="A39" s="50" t="s">
        <v>127</v>
      </c>
      <c r="B39" s="109" t="s">
        <v>128</v>
      </c>
      <c r="C39" s="109"/>
      <c r="D39" s="109"/>
      <c r="E39" s="109"/>
      <c r="F39" s="109"/>
      <c r="G39" s="50" t="s">
        <v>129</v>
      </c>
      <c r="H39" s="58" t="s">
        <v>114</v>
      </c>
    </row>
    <row r="40" spans="1:9" ht="14.65" customHeight="1" x14ac:dyDescent="0.2">
      <c r="A40" s="59" t="s">
        <v>81</v>
      </c>
      <c r="B40" s="121" t="s">
        <v>130</v>
      </c>
      <c r="C40" s="121"/>
      <c r="D40" s="121"/>
      <c r="E40" s="121"/>
      <c r="F40" s="121"/>
      <c r="G40" s="27">
        <f>1/12</f>
        <v>8.3333333333333329E-2</v>
      </c>
      <c r="H40" s="28">
        <f>H29*G40</f>
        <v>225.02783333333335</v>
      </c>
    </row>
    <row r="41" spans="1:9" ht="14.65" customHeight="1" x14ac:dyDescent="0.2">
      <c r="A41" s="59" t="s">
        <v>84</v>
      </c>
      <c r="B41" s="121" t="s">
        <v>243</v>
      </c>
      <c r="C41" s="121"/>
      <c r="D41" s="121"/>
      <c r="E41" s="121"/>
      <c r="F41" s="121"/>
      <c r="G41" s="78">
        <v>3.0249999999999999E-2</v>
      </c>
      <c r="H41" s="28">
        <f>H29*G41</f>
        <v>81.685103500000011</v>
      </c>
    </row>
    <row r="42" spans="1:9" x14ac:dyDescent="0.2">
      <c r="A42" s="109" t="s">
        <v>132</v>
      </c>
      <c r="B42" s="109"/>
      <c r="C42" s="109"/>
      <c r="D42" s="109"/>
      <c r="E42" s="109"/>
      <c r="F42" s="109"/>
      <c r="G42" s="109"/>
      <c r="H42" s="58">
        <f>SUM(H40:H41)</f>
        <v>306.71293683333334</v>
      </c>
    </row>
    <row r="43" spans="1:9" x14ac:dyDescent="0.2">
      <c r="A43" s="122"/>
      <c r="B43" s="122"/>
      <c r="C43" s="122"/>
      <c r="D43" s="122"/>
      <c r="E43" s="122"/>
      <c r="F43" s="122"/>
      <c r="G43" s="122"/>
      <c r="H43" s="122"/>
    </row>
    <row r="44" spans="1:9" x14ac:dyDescent="0.2">
      <c r="A44" s="109" t="s">
        <v>133</v>
      </c>
      <c r="B44" s="109"/>
      <c r="C44" s="109"/>
      <c r="D44" s="109"/>
      <c r="E44" s="109"/>
      <c r="F44" s="109"/>
      <c r="G44" s="109"/>
      <c r="H44" s="55">
        <f>SUM(H29,H42)</f>
        <v>3007.0469368333338</v>
      </c>
    </row>
    <row r="45" spans="1:9" x14ac:dyDescent="0.2">
      <c r="A45" s="57" t="s">
        <v>134</v>
      </c>
      <c r="B45" s="109" t="s">
        <v>135</v>
      </c>
      <c r="C45" s="109"/>
      <c r="D45" s="109"/>
      <c r="E45" s="109"/>
      <c r="F45" s="109"/>
      <c r="G45" s="50" t="s">
        <v>136</v>
      </c>
      <c r="H45" s="58" t="s">
        <v>114</v>
      </c>
    </row>
    <row r="46" spans="1:9" x14ac:dyDescent="0.2">
      <c r="A46" s="53" t="s">
        <v>81</v>
      </c>
      <c r="B46" s="106" t="s">
        <v>137</v>
      </c>
      <c r="C46" s="106"/>
      <c r="D46" s="106"/>
      <c r="E46" s="106"/>
      <c r="F46" s="106"/>
      <c r="G46" s="54">
        <v>0.2</v>
      </c>
      <c r="H46" s="55">
        <f t="shared" ref="H46:H53" si="0">$H$44*G46</f>
        <v>601.40938736666681</v>
      </c>
    </row>
    <row r="47" spans="1:9" x14ac:dyDescent="0.2">
      <c r="A47" s="53" t="s">
        <v>84</v>
      </c>
      <c r="B47" s="106" t="s">
        <v>138</v>
      </c>
      <c r="C47" s="106"/>
      <c r="D47" s="106"/>
      <c r="E47" s="106"/>
      <c r="F47" s="106"/>
      <c r="G47" s="54">
        <v>2.5000000000000001E-2</v>
      </c>
      <c r="H47" s="55">
        <f t="shared" si="0"/>
        <v>75.176173420833351</v>
      </c>
    </row>
    <row r="48" spans="1:9" x14ac:dyDescent="0.2">
      <c r="A48" s="53" t="s">
        <v>86</v>
      </c>
      <c r="B48" s="73" t="s">
        <v>139</v>
      </c>
      <c r="C48" s="79" t="s">
        <v>277</v>
      </c>
      <c r="D48" s="70">
        <v>3</v>
      </c>
      <c r="E48" s="79" t="s">
        <v>278</v>
      </c>
      <c r="F48" s="80">
        <v>1</v>
      </c>
      <c r="G48" s="81">
        <f>D48*F48/100</f>
        <v>0.03</v>
      </c>
      <c r="H48" s="55">
        <f t="shared" si="0"/>
        <v>90.211408105000004</v>
      </c>
      <c r="I48" s="23" t="s">
        <v>279</v>
      </c>
    </row>
    <row r="49" spans="1:8" x14ac:dyDescent="0.2">
      <c r="A49" s="53" t="s">
        <v>89</v>
      </c>
      <c r="B49" s="106" t="s">
        <v>244</v>
      </c>
      <c r="C49" s="106"/>
      <c r="D49" s="106"/>
      <c r="E49" s="106"/>
      <c r="F49" s="106"/>
      <c r="G49" s="54">
        <v>1.4999999999999999E-2</v>
      </c>
      <c r="H49" s="55">
        <f t="shared" si="0"/>
        <v>45.105704052500002</v>
      </c>
    </row>
    <row r="50" spans="1:8" x14ac:dyDescent="0.2">
      <c r="A50" s="53" t="s">
        <v>92</v>
      </c>
      <c r="B50" s="106" t="s">
        <v>245</v>
      </c>
      <c r="C50" s="106"/>
      <c r="D50" s="106"/>
      <c r="E50" s="106"/>
      <c r="F50" s="106"/>
      <c r="G50" s="54">
        <v>0.01</v>
      </c>
      <c r="H50" s="55">
        <f t="shared" si="0"/>
        <v>30.070469368333338</v>
      </c>
    </row>
    <row r="51" spans="1:8" x14ac:dyDescent="0.2">
      <c r="A51" s="53" t="s">
        <v>95</v>
      </c>
      <c r="B51" s="106" t="s">
        <v>142</v>
      </c>
      <c r="C51" s="106"/>
      <c r="D51" s="106"/>
      <c r="E51" s="106"/>
      <c r="F51" s="106"/>
      <c r="G51" s="54">
        <v>6.0000000000000001E-3</v>
      </c>
      <c r="H51" s="55">
        <f t="shared" si="0"/>
        <v>18.042281621000004</v>
      </c>
    </row>
    <row r="52" spans="1:8" x14ac:dyDescent="0.2">
      <c r="A52" s="53" t="s">
        <v>97</v>
      </c>
      <c r="B52" s="106" t="s">
        <v>143</v>
      </c>
      <c r="C52" s="106"/>
      <c r="D52" s="106"/>
      <c r="E52" s="106"/>
      <c r="F52" s="106"/>
      <c r="G52" s="54">
        <v>2E-3</v>
      </c>
      <c r="H52" s="55">
        <f t="shared" si="0"/>
        <v>6.0140938736666678</v>
      </c>
    </row>
    <row r="53" spans="1:8" x14ac:dyDescent="0.2">
      <c r="A53" s="53" t="s">
        <v>100</v>
      </c>
      <c r="B53" s="106" t="s">
        <v>144</v>
      </c>
      <c r="C53" s="106"/>
      <c r="D53" s="106"/>
      <c r="E53" s="106"/>
      <c r="F53" s="106"/>
      <c r="G53" s="54">
        <v>0.08</v>
      </c>
      <c r="H53" s="55">
        <f t="shared" si="0"/>
        <v>240.56375494666671</v>
      </c>
    </row>
    <row r="54" spans="1:8" x14ac:dyDescent="0.2">
      <c r="A54" s="109" t="s">
        <v>145</v>
      </c>
      <c r="B54" s="109"/>
      <c r="C54" s="109"/>
      <c r="D54" s="109"/>
      <c r="E54" s="109"/>
      <c r="F54" s="109"/>
      <c r="G54" s="60">
        <f>SUM(G46:G53)</f>
        <v>0.36800000000000005</v>
      </c>
      <c r="H54" s="56">
        <f>SUM(H46:H53)</f>
        <v>1106.5932727546669</v>
      </c>
    </row>
    <row r="55" spans="1:8" x14ac:dyDescent="0.2">
      <c r="A55" s="122"/>
      <c r="B55" s="122"/>
      <c r="C55" s="122"/>
      <c r="D55" s="122"/>
      <c r="E55" s="122"/>
      <c r="F55" s="122"/>
      <c r="G55" s="122"/>
      <c r="H55" s="122"/>
    </row>
    <row r="56" spans="1:8" x14ac:dyDescent="0.2">
      <c r="A56" s="57" t="s">
        <v>146</v>
      </c>
      <c r="B56" s="109" t="s">
        <v>147</v>
      </c>
      <c r="C56" s="109"/>
      <c r="D56" s="109"/>
      <c r="E56" s="109"/>
      <c r="F56" s="109"/>
      <c r="G56" s="109"/>
      <c r="H56" s="58" t="s">
        <v>114</v>
      </c>
    </row>
    <row r="57" spans="1:8" x14ac:dyDescent="0.2">
      <c r="A57" s="59" t="s">
        <v>81</v>
      </c>
      <c r="B57" s="106" t="s">
        <v>148</v>
      </c>
      <c r="C57" s="106"/>
      <c r="D57" s="106"/>
      <c r="E57" s="106"/>
      <c r="F57" s="106"/>
      <c r="G57" s="106"/>
      <c r="H57" s="55">
        <f>H144</f>
        <v>0</v>
      </c>
    </row>
    <row r="58" spans="1:8" x14ac:dyDescent="0.2">
      <c r="A58" s="59" t="s">
        <v>84</v>
      </c>
      <c r="B58" s="106" t="s">
        <v>149</v>
      </c>
      <c r="C58" s="106"/>
      <c r="D58" s="106"/>
      <c r="E58" s="106"/>
      <c r="F58" s="106"/>
      <c r="G58" s="106"/>
      <c r="H58" s="55">
        <f>H155</f>
        <v>287.16000000000003</v>
      </c>
    </row>
    <row r="59" spans="1:8" x14ac:dyDescent="0.2">
      <c r="A59" s="59" t="s">
        <v>86</v>
      </c>
      <c r="B59" s="106" t="s">
        <v>150</v>
      </c>
      <c r="C59" s="106"/>
      <c r="D59" s="106"/>
      <c r="E59" s="106"/>
      <c r="F59" s="106"/>
      <c r="G59" s="106"/>
      <c r="H59" s="55">
        <v>0</v>
      </c>
    </row>
    <row r="60" spans="1:8" x14ac:dyDescent="0.2">
      <c r="A60" s="109" t="s">
        <v>151</v>
      </c>
      <c r="B60" s="109"/>
      <c r="C60" s="109"/>
      <c r="D60" s="109"/>
      <c r="E60" s="109"/>
      <c r="F60" s="109"/>
      <c r="G60" s="109"/>
      <c r="H60" s="56">
        <f>SUM(H57:H59)</f>
        <v>287.16000000000003</v>
      </c>
    </row>
    <row r="61" spans="1:8" x14ac:dyDescent="0.2">
      <c r="A61" s="123"/>
      <c r="B61" s="123"/>
      <c r="C61" s="123"/>
      <c r="D61" s="123"/>
      <c r="E61" s="123"/>
      <c r="F61" s="123"/>
      <c r="G61" s="123"/>
      <c r="H61" s="123"/>
    </row>
    <row r="62" spans="1:8" x14ac:dyDescent="0.2">
      <c r="A62" s="120" t="s">
        <v>152</v>
      </c>
      <c r="B62" s="120"/>
      <c r="C62" s="120"/>
      <c r="D62" s="120"/>
      <c r="E62" s="120"/>
      <c r="F62" s="120"/>
      <c r="G62" s="120"/>
      <c r="H62" s="120"/>
    </row>
    <row r="63" spans="1:8" x14ac:dyDescent="0.2">
      <c r="A63" s="53" t="s">
        <v>127</v>
      </c>
      <c r="B63" s="106" t="s">
        <v>153</v>
      </c>
      <c r="C63" s="106"/>
      <c r="D63" s="106"/>
      <c r="E63" s="106"/>
      <c r="F63" s="106"/>
      <c r="G63" s="106"/>
      <c r="H63" s="55">
        <f>ROUND(H42,2)</f>
        <v>306.70999999999998</v>
      </c>
    </row>
    <row r="64" spans="1:8" x14ac:dyDescent="0.2">
      <c r="A64" s="53" t="s">
        <v>134</v>
      </c>
      <c r="B64" s="106" t="s">
        <v>154</v>
      </c>
      <c r="C64" s="106"/>
      <c r="D64" s="106"/>
      <c r="E64" s="106"/>
      <c r="F64" s="106"/>
      <c r="G64" s="106"/>
      <c r="H64" s="55">
        <f>ROUND(H54,2)</f>
        <v>1106.5899999999999</v>
      </c>
    </row>
    <row r="65" spans="1:8" x14ac:dyDescent="0.2">
      <c r="A65" s="53" t="s">
        <v>146</v>
      </c>
      <c r="B65" s="106" t="s">
        <v>155</v>
      </c>
      <c r="C65" s="106"/>
      <c r="D65" s="106"/>
      <c r="E65" s="106"/>
      <c r="F65" s="106"/>
      <c r="G65" s="106"/>
      <c r="H65" s="55">
        <f>ROUND(H60,2)</f>
        <v>287.16000000000003</v>
      </c>
    </row>
    <row r="66" spans="1:8" x14ac:dyDescent="0.2">
      <c r="A66" s="109" t="s">
        <v>156</v>
      </c>
      <c r="B66" s="109"/>
      <c r="C66" s="109"/>
      <c r="D66" s="109"/>
      <c r="E66" s="109"/>
      <c r="F66" s="109"/>
      <c r="G66" s="109"/>
      <c r="H66" s="56">
        <f>SUM(H63:H65)</f>
        <v>1700.46</v>
      </c>
    </row>
    <row r="67" spans="1:8" x14ac:dyDescent="0.2">
      <c r="A67" s="123"/>
      <c r="B67" s="123"/>
      <c r="C67" s="123"/>
      <c r="D67" s="123"/>
      <c r="E67" s="123"/>
      <c r="F67" s="123"/>
      <c r="G67" s="123"/>
      <c r="H67" s="123"/>
    </row>
    <row r="68" spans="1:8" x14ac:dyDescent="0.2">
      <c r="A68" s="119" t="s">
        <v>157</v>
      </c>
      <c r="B68" s="119"/>
      <c r="C68" s="119"/>
      <c r="D68" s="119"/>
      <c r="E68" s="119"/>
      <c r="F68" s="119"/>
      <c r="G68" s="119"/>
      <c r="H68" s="119"/>
    </row>
    <row r="69" spans="1:8" x14ac:dyDescent="0.2">
      <c r="A69" s="109" t="s">
        <v>158</v>
      </c>
      <c r="B69" s="109"/>
      <c r="C69" s="109"/>
      <c r="D69" s="109"/>
      <c r="E69" s="109"/>
      <c r="F69" s="109"/>
      <c r="G69" s="109"/>
      <c r="H69" s="55">
        <f>H29+H40+H41+H88</f>
        <v>3252.1022473333337</v>
      </c>
    </row>
    <row r="70" spans="1:8" x14ac:dyDescent="0.2">
      <c r="A70" s="25" t="s">
        <v>159</v>
      </c>
      <c r="B70" s="92" t="s">
        <v>160</v>
      </c>
      <c r="C70" s="92"/>
      <c r="D70" s="92"/>
      <c r="E70" s="92"/>
      <c r="F70" s="25" t="s">
        <v>161</v>
      </c>
      <c r="G70" s="25" t="s">
        <v>136</v>
      </c>
      <c r="H70" s="29" t="s">
        <v>114</v>
      </c>
    </row>
    <row r="71" spans="1:8" x14ac:dyDescent="0.2">
      <c r="A71" s="26" t="s">
        <v>81</v>
      </c>
      <c r="B71" s="124" t="s">
        <v>162</v>
      </c>
      <c r="C71" s="124"/>
      <c r="D71" s="124"/>
      <c r="E71" s="124"/>
      <c r="F71" s="30">
        <v>0.05</v>
      </c>
      <c r="G71" s="31">
        <f>(1/12)*(30/30)*F71</f>
        <v>4.1666666666666666E-3</v>
      </c>
      <c r="H71" s="32">
        <f>H69*G71</f>
        <v>13.550426030555556</v>
      </c>
    </row>
    <row r="72" spans="1:8" x14ac:dyDescent="0.2">
      <c r="A72" s="26" t="s">
        <v>84</v>
      </c>
      <c r="B72" s="112" t="s">
        <v>163</v>
      </c>
      <c r="C72" s="112"/>
      <c r="D72" s="112"/>
      <c r="E72" s="112"/>
      <c r="F72" s="112"/>
      <c r="G72" s="31">
        <f>G53</f>
        <v>0.08</v>
      </c>
      <c r="H72" s="32">
        <f>H71*G72</f>
        <v>1.0840340824444445</v>
      </c>
    </row>
    <row r="73" spans="1:8" x14ac:dyDescent="0.2">
      <c r="A73" s="26" t="s">
        <v>86</v>
      </c>
      <c r="B73" s="112" t="s">
        <v>164</v>
      </c>
      <c r="C73" s="112"/>
      <c r="D73" s="112"/>
      <c r="E73" s="112"/>
      <c r="F73" s="112"/>
      <c r="G73" s="31">
        <f>40%*G72*F71</f>
        <v>1.6000000000000001E-3</v>
      </c>
      <c r="H73" s="32">
        <f>H69*G73</f>
        <v>5.2033635957333342</v>
      </c>
    </row>
    <row r="74" spans="1:8" x14ac:dyDescent="0.2">
      <c r="A74" s="92" t="s">
        <v>165</v>
      </c>
      <c r="B74" s="92"/>
      <c r="C74" s="92"/>
      <c r="D74" s="92"/>
      <c r="E74" s="92"/>
      <c r="F74" s="92"/>
      <c r="G74" s="33"/>
      <c r="H74" s="34">
        <f>ROUND(SUM(H71:H73),2)</f>
        <v>19.84</v>
      </c>
    </row>
    <row r="75" spans="1:8" x14ac:dyDescent="0.2">
      <c r="A75" s="123"/>
      <c r="B75" s="123"/>
      <c r="C75" s="123"/>
      <c r="D75" s="123"/>
      <c r="E75" s="123"/>
      <c r="F75" s="123"/>
      <c r="G75" s="123"/>
      <c r="H75" s="123"/>
    </row>
    <row r="76" spans="1:8" x14ac:dyDescent="0.2">
      <c r="A76" s="109" t="s">
        <v>158</v>
      </c>
      <c r="B76" s="109"/>
      <c r="C76" s="109"/>
      <c r="D76" s="109"/>
      <c r="E76" s="109"/>
      <c r="F76" s="109"/>
      <c r="G76" s="109"/>
      <c r="H76" s="32">
        <f>H29</f>
        <v>2700.3340000000003</v>
      </c>
    </row>
    <row r="77" spans="1:8" x14ac:dyDescent="0.2">
      <c r="A77" s="109" t="s">
        <v>166</v>
      </c>
      <c r="B77" s="109"/>
      <c r="C77" s="109"/>
      <c r="D77" s="109"/>
      <c r="E77" s="109"/>
      <c r="F77" s="109"/>
      <c r="G77" s="109"/>
      <c r="H77" s="32">
        <f>H29+H40+H41+H88</f>
        <v>3252.1022473333337</v>
      </c>
    </row>
    <row r="78" spans="1:8" x14ac:dyDescent="0.2">
      <c r="A78" s="25" t="s">
        <v>167</v>
      </c>
      <c r="B78" s="92" t="s">
        <v>168</v>
      </c>
      <c r="C78" s="92"/>
      <c r="D78" s="92"/>
      <c r="E78" s="92"/>
      <c r="F78" s="35" t="s">
        <v>169</v>
      </c>
      <c r="G78" s="33" t="s">
        <v>136</v>
      </c>
      <c r="H78" s="29" t="s">
        <v>114</v>
      </c>
    </row>
    <row r="79" spans="1:8" x14ac:dyDescent="0.2">
      <c r="A79" s="26" t="s">
        <v>81</v>
      </c>
      <c r="B79" s="124" t="s">
        <v>170</v>
      </c>
      <c r="C79" s="124"/>
      <c r="D79" s="124"/>
      <c r="E79" s="124"/>
      <c r="F79" s="30">
        <v>1</v>
      </c>
      <c r="G79" s="31">
        <f>7/12/30*F79</f>
        <v>1.9444444444444445E-2</v>
      </c>
      <c r="H79" s="32">
        <f>H76*G79</f>
        <v>52.506494444444449</v>
      </c>
    </row>
    <row r="80" spans="1:8" x14ac:dyDescent="0.2">
      <c r="A80" s="26" t="s">
        <v>84</v>
      </c>
      <c r="B80" s="112" t="s">
        <v>171</v>
      </c>
      <c r="C80" s="112"/>
      <c r="D80" s="112"/>
      <c r="E80" s="112"/>
      <c r="F80" s="112"/>
      <c r="G80" s="31">
        <f>G54</f>
        <v>0.36800000000000005</v>
      </c>
      <c r="H80" s="32">
        <f>H79*G80</f>
        <v>19.322389955555561</v>
      </c>
    </row>
    <row r="81" spans="1:9" x14ac:dyDescent="0.2">
      <c r="A81" s="26" t="s">
        <v>86</v>
      </c>
      <c r="B81" s="112" t="s">
        <v>172</v>
      </c>
      <c r="C81" s="112"/>
      <c r="D81" s="112"/>
      <c r="E81" s="112"/>
      <c r="F81" s="112"/>
      <c r="G81" s="31">
        <f>40%*G53*F79</f>
        <v>3.2000000000000001E-2</v>
      </c>
      <c r="H81" s="28">
        <f>G81*H77</f>
        <v>104.06727191466668</v>
      </c>
    </row>
    <row r="82" spans="1:9" x14ac:dyDescent="0.2">
      <c r="A82" s="92" t="s">
        <v>173</v>
      </c>
      <c r="B82" s="92"/>
      <c r="C82" s="92"/>
      <c r="D82" s="92"/>
      <c r="E82" s="92"/>
      <c r="F82" s="92"/>
      <c r="G82" s="33"/>
      <c r="H82" s="34">
        <f>ROUND(SUM(H79:H81),2)</f>
        <v>175.9</v>
      </c>
    </row>
    <row r="83" spans="1:9" x14ac:dyDescent="0.2">
      <c r="A83" s="92" t="s">
        <v>174</v>
      </c>
      <c r="B83" s="92"/>
      <c r="C83" s="92"/>
      <c r="D83" s="92"/>
      <c r="E83" s="92"/>
      <c r="F83" s="92"/>
      <c r="G83" s="92"/>
      <c r="H83" s="29">
        <f>SUM(H74,H82)</f>
        <v>195.74</v>
      </c>
    </row>
    <row r="84" spans="1:9" x14ac:dyDescent="0.2">
      <c r="A84" s="123"/>
      <c r="B84" s="123"/>
      <c r="C84" s="123"/>
      <c r="D84" s="123"/>
      <c r="E84" s="123"/>
      <c r="F84" s="123"/>
      <c r="G84" s="123"/>
      <c r="H84" s="123"/>
    </row>
    <row r="85" spans="1:9" x14ac:dyDescent="0.2">
      <c r="A85" s="120" t="s">
        <v>175</v>
      </c>
      <c r="B85" s="120"/>
      <c r="C85" s="120"/>
      <c r="D85" s="120"/>
      <c r="E85" s="120"/>
      <c r="F85" s="120"/>
      <c r="G85" s="120"/>
      <c r="H85" s="120"/>
    </row>
    <row r="86" spans="1:9" x14ac:dyDescent="0.2">
      <c r="A86" s="109" t="s">
        <v>176</v>
      </c>
      <c r="B86" s="109"/>
      <c r="C86" s="109"/>
      <c r="D86" s="109"/>
      <c r="E86" s="109"/>
      <c r="F86" s="109"/>
      <c r="G86" s="109"/>
      <c r="H86" s="55">
        <f>+H29+H42+H88</f>
        <v>3252.1022473333337</v>
      </c>
    </row>
    <row r="87" spans="1:9" x14ac:dyDescent="0.2">
      <c r="A87" s="50" t="s">
        <v>177</v>
      </c>
      <c r="B87" s="109" t="s">
        <v>178</v>
      </c>
      <c r="C87" s="109"/>
      <c r="D87" s="109"/>
      <c r="E87" s="109"/>
      <c r="F87" s="109"/>
      <c r="G87" s="25" t="s">
        <v>136</v>
      </c>
      <c r="H87" s="58" t="s">
        <v>114</v>
      </c>
    </row>
    <row r="88" spans="1:9" x14ac:dyDescent="0.2">
      <c r="A88" s="59" t="s">
        <v>81</v>
      </c>
      <c r="B88" s="125" t="s">
        <v>179</v>
      </c>
      <c r="C88" s="125"/>
      <c r="D88" s="125"/>
      <c r="E88" s="125"/>
      <c r="F88" s="125"/>
      <c r="G88" s="82">
        <v>9.0749999999999997E-2</v>
      </c>
      <c r="H88" s="55">
        <f>H29*G88</f>
        <v>245.05531050000002</v>
      </c>
      <c r="I88" s="36"/>
    </row>
    <row r="89" spans="1:9" x14ac:dyDescent="0.2">
      <c r="A89" s="59" t="s">
        <v>84</v>
      </c>
      <c r="B89" s="125" t="s">
        <v>180</v>
      </c>
      <c r="C89" s="125"/>
      <c r="D89" s="125"/>
      <c r="E89" s="125"/>
      <c r="F89" s="125"/>
      <c r="G89" s="61">
        <f>2.96/30/12</f>
        <v>8.2222222222222228E-3</v>
      </c>
      <c r="H89" s="55">
        <f>H86*G89</f>
        <v>26.739507366962968</v>
      </c>
    </row>
    <row r="90" spans="1:9" x14ac:dyDescent="0.2">
      <c r="A90" s="59" t="s">
        <v>86</v>
      </c>
      <c r="B90" s="125" t="s">
        <v>181</v>
      </c>
      <c r="C90" s="125"/>
      <c r="D90" s="125"/>
      <c r="E90" s="125"/>
      <c r="F90" s="125"/>
      <c r="G90" s="61">
        <f>5/30/12*0.015</f>
        <v>2.0833333333333332E-4</v>
      </c>
      <c r="H90" s="55">
        <f>H86*G90</f>
        <v>0.67752130152777779</v>
      </c>
    </row>
    <row r="91" spans="1:9" x14ac:dyDescent="0.2">
      <c r="A91" s="59" t="s">
        <v>89</v>
      </c>
      <c r="B91" s="125" t="s">
        <v>182</v>
      </c>
      <c r="C91" s="125"/>
      <c r="D91" s="125"/>
      <c r="E91" s="125"/>
      <c r="F91" s="125"/>
      <c r="G91" s="61">
        <f>15/30/12*0.0078</f>
        <v>3.2499999999999999E-4</v>
      </c>
      <c r="H91" s="55">
        <f>H86*G91</f>
        <v>1.0569332303833334</v>
      </c>
    </row>
    <row r="92" spans="1:9" x14ac:dyDescent="0.2">
      <c r="A92" s="59" t="s">
        <v>92</v>
      </c>
      <c r="B92" s="125" t="s">
        <v>183</v>
      </c>
      <c r="C92" s="125"/>
      <c r="D92" s="125"/>
      <c r="E92" s="125"/>
      <c r="F92" s="125"/>
      <c r="G92" s="61">
        <f>4/12*0.02</f>
        <v>6.6666666666666662E-3</v>
      </c>
      <c r="H92" s="55">
        <f>(((H29+H42)/12)*G92)</f>
        <v>1.6705816315740742</v>
      </c>
    </row>
    <row r="93" spans="1:9" x14ac:dyDescent="0.2">
      <c r="A93" s="59" t="s">
        <v>95</v>
      </c>
      <c r="B93" s="125" t="s">
        <v>150</v>
      </c>
      <c r="C93" s="125"/>
      <c r="D93" s="125"/>
      <c r="E93" s="125"/>
      <c r="F93" s="125"/>
      <c r="G93" s="61"/>
      <c r="H93" s="55">
        <v>0</v>
      </c>
    </row>
    <row r="94" spans="1:9" x14ac:dyDescent="0.2">
      <c r="A94" s="109" t="s">
        <v>184</v>
      </c>
      <c r="B94" s="109"/>
      <c r="C94" s="109"/>
      <c r="D94" s="109"/>
      <c r="E94" s="109"/>
      <c r="F94" s="109"/>
      <c r="G94" s="109"/>
      <c r="H94" s="56">
        <f>SUM(H88:H93)</f>
        <v>275.19985403044819</v>
      </c>
    </row>
    <row r="95" spans="1:9" x14ac:dyDescent="0.2">
      <c r="A95" s="59" t="s">
        <v>97</v>
      </c>
      <c r="B95" s="125" t="s">
        <v>185</v>
      </c>
      <c r="C95" s="125"/>
      <c r="D95" s="125"/>
      <c r="E95" s="125"/>
      <c r="F95" s="125"/>
      <c r="G95" s="61">
        <f>G54</f>
        <v>0.36800000000000005</v>
      </c>
      <c r="H95" s="55">
        <f>H94*G95</f>
        <v>101.27354628320495</v>
      </c>
    </row>
    <row r="96" spans="1:9" x14ac:dyDescent="0.2">
      <c r="A96" s="109" t="s">
        <v>186</v>
      </c>
      <c r="B96" s="109"/>
      <c r="C96" s="109"/>
      <c r="D96" s="109"/>
      <c r="E96" s="109"/>
      <c r="F96" s="109"/>
      <c r="G96" s="109"/>
      <c r="H96" s="58">
        <f>ROUND(SUM(H94:H95),2)</f>
        <v>376.47</v>
      </c>
    </row>
    <row r="97" spans="1:8" x14ac:dyDescent="0.2">
      <c r="A97" s="123"/>
      <c r="B97" s="123"/>
      <c r="C97" s="123"/>
      <c r="D97" s="123"/>
      <c r="E97" s="123"/>
      <c r="F97" s="123"/>
      <c r="G97" s="123"/>
      <c r="H97" s="123"/>
    </row>
    <row r="98" spans="1:8" x14ac:dyDescent="0.2">
      <c r="A98" s="120" t="s">
        <v>187</v>
      </c>
      <c r="B98" s="120"/>
      <c r="C98" s="120"/>
      <c r="D98" s="120"/>
      <c r="E98" s="120"/>
      <c r="F98" s="120"/>
      <c r="G98" s="120"/>
      <c r="H98" s="120"/>
    </row>
    <row r="99" spans="1:8" x14ac:dyDescent="0.2">
      <c r="A99" s="109" t="s">
        <v>188</v>
      </c>
      <c r="B99" s="109"/>
      <c r="C99" s="109"/>
      <c r="D99" s="109"/>
      <c r="E99" s="109"/>
      <c r="F99" s="109"/>
      <c r="G99" s="109"/>
      <c r="H99" s="58" t="s">
        <v>114</v>
      </c>
    </row>
    <row r="100" spans="1:8" x14ac:dyDescent="0.2">
      <c r="A100" s="53" t="s">
        <v>81</v>
      </c>
      <c r="B100" s="106" t="s">
        <v>189</v>
      </c>
      <c r="C100" s="106"/>
      <c r="D100" s="106"/>
      <c r="E100" s="106"/>
      <c r="F100" s="106"/>
      <c r="G100" s="106"/>
      <c r="H100" s="55">
        <f>H169</f>
        <v>128.9</v>
      </c>
    </row>
    <row r="101" spans="1:8" x14ac:dyDescent="0.2">
      <c r="A101" s="53" t="s">
        <v>84</v>
      </c>
      <c r="B101" s="106" t="s">
        <v>246</v>
      </c>
      <c r="C101" s="106"/>
      <c r="D101" s="106"/>
      <c r="E101" s="106"/>
      <c r="F101" s="106"/>
      <c r="G101" s="106"/>
      <c r="H101" s="55">
        <v>0</v>
      </c>
    </row>
    <row r="102" spans="1:8" x14ac:dyDescent="0.2">
      <c r="A102" s="53" t="s">
        <v>86</v>
      </c>
      <c r="B102" s="106" t="s">
        <v>191</v>
      </c>
      <c r="C102" s="106"/>
      <c r="D102" s="106"/>
      <c r="E102" s="106"/>
      <c r="F102" s="106"/>
      <c r="G102" s="106"/>
      <c r="H102" s="55">
        <f>Equipamentos!H35</f>
        <v>81.260000000000005</v>
      </c>
    </row>
    <row r="103" spans="1:8" x14ac:dyDescent="0.2">
      <c r="A103" s="53" t="s">
        <v>89</v>
      </c>
      <c r="B103" s="106" t="s">
        <v>150</v>
      </c>
      <c r="C103" s="106"/>
      <c r="D103" s="106"/>
      <c r="E103" s="106"/>
      <c r="F103" s="106"/>
      <c r="G103" s="106"/>
      <c r="H103" s="55">
        <v>0</v>
      </c>
    </row>
    <row r="104" spans="1:8" x14ac:dyDescent="0.2">
      <c r="A104" s="109" t="s">
        <v>192</v>
      </c>
      <c r="B104" s="109"/>
      <c r="C104" s="109"/>
      <c r="D104" s="109"/>
      <c r="E104" s="109"/>
      <c r="F104" s="109"/>
      <c r="G104" s="109"/>
      <c r="H104" s="58">
        <f>SUM(H100:H103)</f>
        <v>210.16000000000003</v>
      </c>
    </row>
    <row r="105" spans="1:8" x14ac:dyDescent="0.2">
      <c r="A105" s="123"/>
      <c r="B105" s="123"/>
      <c r="C105" s="123"/>
      <c r="D105" s="123"/>
      <c r="E105" s="123"/>
      <c r="F105" s="123"/>
      <c r="G105" s="123"/>
      <c r="H105" s="123"/>
    </row>
    <row r="106" spans="1:8" x14ac:dyDescent="0.2">
      <c r="A106" s="120" t="s">
        <v>193</v>
      </c>
      <c r="B106" s="120"/>
      <c r="C106" s="120"/>
      <c r="D106" s="120"/>
      <c r="E106" s="120"/>
      <c r="F106" s="120"/>
      <c r="G106" s="120"/>
      <c r="H106" s="120"/>
    </row>
    <row r="107" spans="1:8" x14ac:dyDescent="0.2">
      <c r="A107" s="109" t="s">
        <v>194</v>
      </c>
      <c r="B107" s="109"/>
      <c r="C107" s="109"/>
      <c r="D107" s="109"/>
      <c r="E107" s="109"/>
      <c r="F107" s="51" t="s">
        <v>195</v>
      </c>
      <c r="G107" s="50" t="s">
        <v>136</v>
      </c>
      <c r="H107" s="58" t="s">
        <v>114</v>
      </c>
    </row>
    <row r="108" spans="1:8" x14ac:dyDescent="0.2">
      <c r="A108" s="59" t="s">
        <v>81</v>
      </c>
      <c r="B108" s="126" t="s">
        <v>196</v>
      </c>
      <c r="C108" s="126"/>
      <c r="D108" s="126"/>
      <c r="E108" s="126"/>
      <c r="F108" s="28">
        <f>SUM(H36,H66,H83,H96,H104)</f>
        <v>5383.7140000000009</v>
      </c>
      <c r="G108" s="61">
        <v>0.03</v>
      </c>
      <c r="H108" s="32">
        <f>ROUND(F108*G108,2)</f>
        <v>161.51</v>
      </c>
    </row>
    <row r="109" spans="1:8" x14ac:dyDescent="0.2">
      <c r="A109" s="59" t="s">
        <v>84</v>
      </c>
      <c r="B109" s="126" t="s">
        <v>197</v>
      </c>
      <c r="C109" s="126"/>
      <c r="D109" s="126"/>
      <c r="E109" s="126"/>
      <c r="F109" s="28">
        <f>SUM(F108,H108)</f>
        <v>5545.2240000000011</v>
      </c>
      <c r="G109" s="61">
        <v>6.7900000000000002E-2</v>
      </c>
      <c r="H109" s="32">
        <f>ROUND(F109*G109,2)</f>
        <v>376.52</v>
      </c>
    </row>
    <row r="110" spans="1:8" x14ac:dyDescent="0.2">
      <c r="A110" s="59" t="s">
        <v>86</v>
      </c>
      <c r="B110" s="112" t="s">
        <v>198</v>
      </c>
      <c r="C110" s="112"/>
      <c r="D110" s="112"/>
      <c r="E110" s="112"/>
      <c r="F110" s="112"/>
      <c r="G110" s="112"/>
      <c r="H110" s="112"/>
    </row>
    <row r="111" spans="1:8" x14ac:dyDescent="0.2">
      <c r="A111" s="59"/>
      <c r="B111" s="126" t="s">
        <v>199</v>
      </c>
      <c r="C111" s="126"/>
      <c r="D111" s="126"/>
      <c r="E111" s="126"/>
      <c r="F111" s="28">
        <f>SUM(F109,H109)</f>
        <v>5921.7440000000006</v>
      </c>
      <c r="G111" s="61">
        <v>3.6499999999999998E-2</v>
      </c>
      <c r="H111" s="32">
        <f>ROUND(F111*G111,2)</f>
        <v>216.14</v>
      </c>
    </row>
    <row r="112" spans="1:8" x14ac:dyDescent="0.2">
      <c r="A112" s="59"/>
      <c r="B112" s="126" t="s">
        <v>200</v>
      </c>
      <c r="C112" s="126"/>
      <c r="D112" s="126"/>
      <c r="E112" s="126"/>
      <c r="F112" s="28">
        <f>SUM(F111,H111)</f>
        <v>6137.8840000000009</v>
      </c>
      <c r="G112" s="61">
        <v>0.04</v>
      </c>
      <c r="H112" s="32">
        <f>ROUND(F112*G112,2)</f>
        <v>245.52</v>
      </c>
    </row>
    <row r="113" spans="1:33" x14ac:dyDescent="0.2">
      <c r="A113" s="109" t="s">
        <v>201</v>
      </c>
      <c r="B113" s="109"/>
      <c r="C113" s="109"/>
      <c r="D113" s="109"/>
      <c r="E113" s="109"/>
      <c r="F113" s="109"/>
      <c r="G113" s="109"/>
      <c r="H113" s="58">
        <f>SUM(H108,H109,H111,H112)</f>
        <v>999.68999999999994</v>
      </c>
    </row>
    <row r="114" spans="1:33" x14ac:dyDescent="0.2">
      <c r="A114" s="123"/>
      <c r="B114" s="123"/>
      <c r="C114" s="123"/>
      <c r="D114" s="123"/>
      <c r="E114" s="123"/>
      <c r="F114" s="123"/>
      <c r="G114" s="123"/>
      <c r="H114" s="123"/>
    </row>
    <row r="115" spans="1:33" x14ac:dyDescent="0.2">
      <c r="A115" s="120" t="s">
        <v>202</v>
      </c>
      <c r="B115" s="120"/>
      <c r="C115" s="120"/>
      <c r="D115" s="120"/>
      <c r="E115" s="120"/>
      <c r="F115" s="120"/>
      <c r="G115" s="120"/>
      <c r="H115" s="62" t="s">
        <v>203</v>
      </c>
    </row>
    <row r="116" spans="1:33" x14ac:dyDescent="0.2">
      <c r="A116" s="59" t="s">
        <v>81</v>
      </c>
      <c r="B116" s="126" t="s">
        <v>204</v>
      </c>
      <c r="C116" s="126"/>
      <c r="D116" s="126"/>
      <c r="E116" s="126"/>
      <c r="F116" s="126"/>
      <c r="G116" s="126"/>
      <c r="H116" s="49">
        <f>ROUND(H36,2)</f>
        <v>2900.88</v>
      </c>
    </row>
    <row r="117" spans="1:33" x14ac:dyDescent="0.2">
      <c r="A117" s="59" t="s">
        <v>84</v>
      </c>
      <c r="B117" s="126" t="s">
        <v>205</v>
      </c>
      <c r="C117" s="126"/>
      <c r="D117" s="126"/>
      <c r="E117" s="126"/>
      <c r="F117" s="126"/>
      <c r="G117" s="126"/>
      <c r="H117" s="49">
        <f>ROUND(H66,2)</f>
        <v>1700.46</v>
      </c>
    </row>
    <row r="118" spans="1:33" x14ac:dyDescent="0.2">
      <c r="A118" s="59" t="s">
        <v>86</v>
      </c>
      <c r="B118" s="126" t="s">
        <v>206</v>
      </c>
      <c r="C118" s="126"/>
      <c r="D118" s="126"/>
      <c r="E118" s="126"/>
      <c r="F118" s="126"/>
      <c r="G118" s="126"/>
      <c r="H118" s="49">
        <f>ROUND(H83,2)</f>
        <v>195.74</v>
      </c>
    </row>
    <row r="119" spans="1:33" x14ac:dyDescent="0.2">
      <c r="A119" s="59" t="s">
        <v>89</v>
      </c>
      <c r="B119" s="126" t="s">
        <v>207</v>
      </c>
      <c r="C119" s="126"/>
      <c r="D119" s="126"/>
      <c r="E119" s="126"/>
      <c r="F119" s="126"/>
      <c r="G119" s="126"/>
      <c r="H119" s="49">
        <f>ROUND(H96,2)</f>
        <v>376.47</v>
      </c>
    </row>
    <row r="120" spans="1:33" x14ac:dyDescent="0.2">
      <c r="A120" s="59" t="s">
        <v>92</v>
      </c>
      <c r="B120" s="126" t="s">
        <v>208</v>
      </c>
      <c r="C120" s="126"/>
      <c r="D120" s="126"/>
      <c r="E120" s="126"/>
      <c r="F120" s="126"/>
      <c r="G120" s="126"/>
      <c r="H120" s="49">
        <f>ROUND(H104,2)</f>
        <v>210.16</v>
      </c>
    </row>
    <row r="121" spans="1:33" x14ac:dyDescent="0.2">
      <c r="A121" s="59" t="s">
        <v>95</v>
      </c>
      <c r="B121" s="126" t="s">
        <v>209</v>
      </c>
      <c r="C121" s="126"/>
      <c r="D121" s="126"/>
      <c r="E121" s="126"/>
      <c r="F121" s="126"/>
      <c r="G121" s="126"/>
      <c r="H121" s="49">
        <f>ROUND(H113,2)</f>
        <v>999.69</v>
      </c>
    </row>
    <row r="122" spans="1:33" x14ac:dyDescent="0.2">
      <c r="A122" s="109" t="s">
        <v>210</v>
      </c>
      <c r="B122" s="109"/>
      <c r="C122" s="109"/>
      <c r="D122" s="109"/>
      <c r="E122" s="109"/>
      <c r="F122" s="109"/>
      <c r="G122" s="109"/>
      <c r="H122" s="63">
        <f>SUM(H116:H121)</f>
        <v>6383.4</v>
      </c>
    </row>
    <row r="123" spans="1:33" x14ac:dyDescent="0.2">
      <c r="A123" s="118"/>
      <c r="B123" s="118"/>
      <c r="C123" s="118"/>
      <c r="D123" s="118"/>
      <c r="E123" s="118"/>
      <c r="F123" s="118"/>
      <c r="G123" s="118"/>
      <c r="H123" s="118"/>
    </row>
    <row r="124" spans="1:33" x14ac:dyDescent="0.2">
      <c r="A124" s="120" t="s">
        <v>211</v>
      </c>
      <c r="B124" s="120"/>
      <c r="C124" s="120"/>
      <c r="D124" s="120"/>
      <c r="E124" s="120"/>
      <c r="F124" s="120"/>
      <c r="G124" s="120"/>
      <c r="H124" s="120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</row>
    <row r="125" spans="1:33" ht="14.65" customHeight="1" x14ac:dyDescent="0.2">
      <c r="A125" s="127" t="s">
        <v>212</v>
      </c>
      <c r="B125" s="127"/>
      <c r="C125" s="127"/>
      <c r="D125" s="127"/>
      <c r="E125" s="127"/>
      <c r="F125" s="127"/>
      <c r="G125" s="127"/>
      <c r="H125" s="64">
        <f>H122</f>
        <v>6383.4</v>
      </c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</row>
    <row r="126" spans="1:33" ht="14.65" customHeight="1" x14ac:dyDescent="0.2">
      <c r="A126" s="127" t="s">
        <v>213</v>
      </c>
      <c r="B126" s="127"/>
      <c r="C126" s="127"/>
      <c r="D126" s="127"/>
      <c r="E126" s="127"/>
      <c r="F126" s="127"/>
      <c r="G126" s="127"/>
      <c r="H126" s="65">
        <f>G21</f>
        <v>2</v>
      </c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</row>
    <row r="127" spans="1:33" ht="14.65" customHeight="1" x14ac:dyDescent="0.2">
      <c r="A127" s="127" t="s">
        <v>214</v>
      </c>
      <c r="B127" s="127"/>
      <c r="C127" s="127"/>
      <c r="D127" s="127"/>
      <c r="E127" s="127"/>
      <c r="F127" s="127"/>
      <c r="G127" s="127"/>
      <c r="H127" s="66">
        <f>H125*H126</f>
        <v>12766.8</v>
      </c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</row>
    <row r="128" spans="1:33" ht="14.65" customHeight="1" x14ac:dyDescent="0.2">
      <c r="A128" s="127" t="s">
        <v>21</v>
      </c>
      <c r="B128" s="127"/>
      <c r="C128" s="127"/>
      <c r="D128" s="127"/>
      <c r="E128" s="127"/>
      <c r="F128" s="127"/>
      <c r="G128" s="127"/>
      <c r="H128" s="53">
        <f>G20</f>
        <v>2</v>
      </c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</row>
    <row r="129" spans="1:33" ht="14.65" customHeight="1" x14ac:dyDescent="0.2">
      <c r="A129" s="127" t="s">
        <v>215</v>
      </c>
      <c r="B129" s="127"/>
      <c r="C129" s="127"/>
      <c r="D129" s="127"/>
      <c r="E129" s="127"/>
      <c r="F129" s="127"/>
      <c r="G129" s="127"/>
      <c r="H129" s="66">
        <f>H127*H128</f>
        <v>25533.599999999999</v>
      </c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</row>
    <row r="130" spans="1:33" ht="14.65" customHeight="1" x14ac:dyDescent="0.2">
      <c r="A130" s="127" t="s">
        <v>216</v>
      </c>
      <c r="B130" s="127"/>
      <c r="C130" s="127"/>
      <c r="D130" s="127"/>
      <c r="E130" s="127"/>
      <c r="F130" s="127"/>
      <c r="G130" s="127"/>
      <c r="H130" s="67">
        <f>H129*12</f>
        <v>306403.19999999995</v>
      </c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</row>
    <row r="131" spans="1:33" ht="14.65" customHeight="1" x14ac:dyDescent="0.2">
      <c r="A131" s="127" t="s">
        <v>217</v>
      </c>
      <c r="B131" s="127"/>
      <c r="C131" s="127"/>
      <c r="D131" s="127"/>
      <c r="E131" s="127"/>
      <c r="F131" s="127"/>
      <c r="G131" s="127"/>
      <c r="H131" s="68">
        <f>G18</f>
        <v>12</v>
      </c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</row>
    <row r="132" spans="1:33" ht="14.65" customHeight="1" x14ac:dyDescent="0.2">
      <c r="A132" s="128" t="s">
        <v>218</v>
      </c>
      <c r="B132" s="128"/>
      <c r="C132" s="128"/>
      <c r="D132" s="128"/>
      <c r="E132" s="128"/>
      <c r="F132" s="128"/>
      <c r="G132" s="128"/>
      <c r="H132" s="69">
        <f>H129*H131</f>
        <v>306403.19999999995</v>
      </c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</row>
    <row r="133" spans="1:33" x14ac:dyDescent="0.2">
      <c r="A133" s="118"/>
      <c r="B133" s="118"/>
      <c r="C133" s="118"/>
      <c r="D133" s="118"/>
      <c r="E133" s="118"/>
      <c r="F133" s="118"/>
      <c r="G133" s="118"/>
      <c r="H133" s="118"/>
    </row>
    <row r="134" spans="1:33" x14ac:dyDescent="0.2">
      <c r="A134" s="129"/>
      <c r="B134" s="129"/>
      <c r="C134" s="129"/>
      <c r="D134" s="129"/>
      <c r="E134" s="129"/>
      <c r="F134" s="129"/>
      <c r="G134" s="129"/>
      <c r="H134" s="129"/>
    </row>
    <row r="135" spans="1:33" x14ac:dyDescent="0.2">
      <c r="A135" s="120" t="s">
        <v>219</v>
      </c>
      <c r="B135" s="120"/>
      <c r="C135" s="120"/>
      <c r="D135" s="120"/>
      <c r="E135" s="120"/>
      <c r="F135" s="120"/>
      <c r="G135" s="120"/>
      <c r="H135" s="120"/>
    </row>
    <row r="136" spans="1:33" x14ac:dyDescent="0.2">
      <c r="A136" s="109" t="s">
        <v>220</v>
      </c>
      <c r="B136" s="109"/>
      <c r="C136" s="109"/>
      <c r="D136" s="109"/>
      <c r="E136" s="109"/>
      <c r="F136" s="109"/>
      <c r="G136" s="109"/>
      <c r="H136" s="109"/>
    </row>
    <row r="137" spans="1:33" x14ac:dyDescent="0.2">
      <c r="A137" s="130" t="s">
        <v>221</v>
      </c>
      <c r="B137" s="130"/>
      <c r="C137" s="130"/>
      <c r="D137" s="130" t="s">
        <v>222</v>
      </c>
      <c r="E137" s="130"/>
      <c r="F137" s="130" t="s">
        <v>223</v>
      </c>
      <c r="G137" s="130"/>
      <c r="H137" s="52" t="s">
        <v>224</v>
      </c>
    </row>
    <row r="138" spans="1:33" x14ac:dyDescent="0.2">
      <c r="A138" s="131">
        <v>0</v>
      </c>
      <c r="B138" s="131"/>
      <c r="C138" s="131"/>
      <c r="D138" s="132">
        <v>0</v>
      </c>
      <c r="E138" s="132"/>
      <c r="F138" s="117">
        <v>22</v>
      </c>
      <c r="G138" s="117"/>
      <c r="H138" s="64">
        <f>ROUND(A138*D138*F138,2)</f>
        <v>0</v>
      </c>
    </row>
    <row r="139" spans="1:33" x14ac:dyDescent="0.2">
      <c r="A139" s="132"/>
      <c r="B139" s="132"/>
      <c r="C139" s="132"/>
      <c r="D139" s="132"/>
      <c r="E139" s="132"/>
      <c r="F139" s="132"/>
      <c r="G139" s="132"/>
      <c r="H139" s="132"/>
    </row>
    <row r="140" spans="1:33" x14ac:dyDescent="0.2">
      <c r="A140" s="109" t="s">
        <v>225</v>
      </c>
      <c r="B140" s="109"/>
      <c r="C140" s="109"/>
      <c r="D140" s="109"/>
      <c r="E140" s="109"/>
      <c r="F140" s="109"/>
      <c r="G140" s="109"/>
      <c r="H140" s="109"/>
    </row>
    <row r="141" spans="1:33" x14ac:dyDescent="0.2">
      <c r="A141" s="130" t="s">
        <v>226</v>
      </c>
      <c r="B141" s="130"/>
      <c r="C141" s="130"/>
      <c r="D141" s="130" t="s">
        <v>227</v>
      </c>
      <c r="E141" s="130"/>
      <c r="F141" s="130" t="s">
        <v>228</v>
      </c>
      <c r="G141" s="130"/>
      <c r="H141" s="52" t="s">
        <v>229</v>
      </c>
    </row>
    <row r="142" spans="1:33" x14ac:dyDescent="0.2">
      <c r="A142" s="131">
        <f>H25</f>
        <v>1764.4</v>
      </c>
      <c r="B142" s="131"/>
      <c r="C142" s="131"/>
      <c r="D142" s="133">
        <v>1</v>
      </c>
      <c r="E142" s="133"/>
      <c r="F142" s="133">
        <v>0</v>
      </c>
      <c r="G142" s="133"/>
      <c r="H142" s="64">
        <f>ROUND(A142*D142*F142,2)</f>
        <v>0</v>
      </c>
    </row>
    <row r="143" spans="1:33" x14ac:dyDescent="0.2">
      <c r="A143" s="132"/>
      <c r="B143" s="132"/>
      <c r="C143" s="132"/>
      <c r="D143" s="132"/>
      <c r="E143" s="132"/>
      <c r="F143" s="132"/>
      <c r="G143" s="132"/>
      <c r="H143" s="132"/>
    </row>
    <row r="144" spans="1:33" x14ac:dyDescent="0.2">
      <c r="A144" s="109" t="s">
        <v>247</v>
      </c>
      <c r="B144" s="109"/>
      <c r="C144" s="109"/>
      <c r="D144" s="109"/>
      <c r="E144" s="109"/>
      <c r="F144" s="109"/>
      <c r="G144" s="109"/>
      <c r="H144" s="58">
        <f>IF(H138-H142&lt;0,"0,00",H138-H142)</f>
        <v>0</v>
      </c>
    </row>
    <row r="145" spans="1:8" x14ac:dyDescent="0.2">
      <c r="A145" s="118"/>
      <c r="B145" s="118"/>
      <c r="C145" s="118"/>
      <c r="D145" s="118"/>
      <c r="E145" s="118"/>
      <c r="F145" s="118"/>
      <c r="G145" s="118"/>
      <c r="H145" s="118"/>
    </row>
    <row r="146" spans="1:8" x14ac:dyDescent="0.2">
      <c r="A146" s="120" t="s">
        <v>231</v>
      </c>
      <c r="B146" s="120"/>
      <c r="C146" s="120"/>
      <c r="D146" s="120"/>
      <c r="E146" s="120"/>
      <c r="F146" s="120"/>
      <c r="G146" s="120"/>
      <c r="H146" s="120"/>
    </row>
    <row r="147" spans="1:8" x14ac:dyDescent="0.2">
      <c r="A147" s="109" t="s">
        <v>232</v>
      </c>
      <c r="B147" s="109"/>
      <c r="C147" s="109"/>
      <c r="D147" s="109"/>
      <c r="E147" s="109"/>
      <c r="F147" s="109"/>
      <c r="G147" s="109"/>
      <c r="H147" s="109"/>
    </row>
    <row r="148" spans="1:8" x14ac:dyDescent="0.2">
      <c r="A148" s="130" t="s">
        <v>221</v>
      </c>
      <c r="B148" s="130"/>
      <c r="C148" s="130"/>
      <c r="D148" s="130" t="s">
        <v>223</v>
      </c>
      <c r="E148" s="130"/>
      <c r="F148" s="130"/>
      <c r="G148" s="130" t="s">
        <v>224</v>
      </c>
      <c r="H148" s="130"/>
    </row>
    <row r="149" spans="1:8" x14ac:dyDescent="0.2">
      <c r="A149" s="131">
        <v>23.93</v>
      </c>
      <c r="B149" s="131"/>
      <c r="C149" s="131"/>
      <c r="D149" s="117">
        <v>15</v>
      </c>
      <c r="E149" s="117"/>
      <c r="F149" s="117"/>
      <c r="G149" s="131">
        <f>ROUND(A149*D149,2)</f>
        <v>358.95</v>
      </c>
      <c r="H149" s="131"/>
    </row>
    <row r="150" spans="1:8" x14ac:dyDescent="0.2">
      <c r="A150" s="132"/>
      <c r="B150" s="132"/>
      <c r="C150" s="132"/>
      <c r="D150" s="132"/>
      <c r="E150" s="132"/>
      <c r="F150" s="132"/>
      <c r="G150" s="132"/>
      <c r="H150" s="132"/>
    </row>
    <row r="151" spans="1:8" x14ac:dyDescent="0.2">
      <c r="A151" s="109" t="s">
        <v>233</v>
      </c>
      <c r="B151" s="109"/>
      <c r="C151" s="109"/>
      <c r="D151" s="109"/>
      <c r="E151" s="109"/>
      <c r="F151" s="109"/>
      <c r="G151" s="109"/>
      <c r="H151" s="109"/>
    </row>
    <row r="152" spans="1:8" x14ac:dyDescent="0.2">
      <c r="A152" s="130" t="s">
        <v>226</v>
      </c>
      <c r="B152" s="130"/>
      <c r="C152" s="130"/>
      <c r="D152" s="130" t="s">
        <v>228</v>
      </c>
      <c r="E152" s="130"/>
      <c r="F152" s="130"/>
      <c r="G152" s="130" t="s">
        <v>229</v>
      </c>
      <c r="H152" s="130"/>
    </row>
    <row r="153" spans="1:8" x14ac:dyDescent="0.2">
      <c r="A153" s="131">
        <f>G149</f>
        <v>358.95</v>
      </c>
      <c r="B153" s="131"/>
      <c r="C153" s="131"/>
      <c r="D153" s="133">
        <v>0.2</v>
      </c>
      <c r="E153" s="133"/>
      <c r="F153" s="133"/>
      <c r="G153" s="131">
        <f>ROUND(A153*D153,2)</f>
        <v>71.790000000000006</v>
      </c>
      <c r="H153" s="131"/>
    </row>
    <row r="154" spans="1:8" x14ac:dyDescent="0.2">
      <c r="A154" s="132"/>
      <c r="B154" s="132"/>
      <c r="C154" s="132"/>
      <c r="D154" s="132"/>
      <c r="E154" s="132"/>
      <c r="F154" s="132"/>
      <c r="G154" s="132"/>
      <c r="H154" s="132"/>
    </row>
    <row r="155" spans="1:8" x14ac:dyDescent="0.2">
      <c r="A155" s="109" t="s">
        <v>248</v>
      </c>
      <c r="B155" s="109"/>
      <c r="C155" s="109"/>
      <c r="D155" s="109"/>
      <c r="E155" s="109"/>
      <c r="F155" s="109"/>
      <c r="G155" s="109"/>
      <c r="H155" s="58">
        <f>ROUND(G149-G153,2)</f>
        <v>287.16000000000003</v>
      </c>
    </row>
    <row r="156" spans="1:8" x14ac:dyDescent="0.2">
      <c r="A156" s="118"/>
      <c r="B156" s="118"/>
      <c r="C156" s="118"/>
      <c r="D156" s="118"/>
      <c r="E156" s="118"/>
      <c r="F156" s="118"/>
      <c r="G156" s="118"/>
      <c r="H156" s="118"/>
    </row>
    <row r="157" spans="1:8" x14ac:dyDescent="0.2">
      <c r="A157" s="120" t="s">
        <v>235</v>
      </c>
      <c r="B157" s="120"/>
      <c r="C157" s="120"/>
      <c r="D157" s="120"/>
      <c r="E157" s="120"/>
      <c r="F157" s="120"/>
      <c r="G157" s="120"/>
      <c r="H157" s="120"/>
    </row>
    <row r="158" spans="1:8" ht="25.5" x14ac:dyDescent="0.2">
      <c r="A158" s="50" t="s">
        <v>18</v>
      </c>
      <c r="B158" s="109" t="s">
        <v>33</v>
      </c>
      <c r="C158" s="109"/>
      <c r="D158" s="109"/>
      <c r="E158" s="50" t="s">
        <v>236</v>
      </c>
      <c r="F158" s="50" t="s">
        <v>221</v>
      </c>
      <c r="G158" s="72" t="s">
        <v>237</v>
      </c>
      <c r="H158" s="50" t="s">
        <v>238</v>
      </c>
    </row>
    <row r="159" spans="1:8" x14ac:dyDescent="0.2">
      <c r="A159" s="59">
        <v>1</v>
      </c>
      <c r="B159" s="134" t="str">
        <f>VLOOKUP(A159,Insumos!$A$3:$E$28,3, )</f>
        <v>Apito com cordão</v>
      </c>
      <c r="C159" s="134"/>
      <c r="D159" s="134"/>
      <c r="E159" s="59">
        <v>1</v>
      </c>
      <c r="F159" s="49">
        <f>VLOOKUP(A159,Insumos!$A$3:$E$28,5, )</f>
        <v>25.96</v>
      </c>
      <c r="G159" s="59">
        <v>12</v>
      </c>
      <c r="H159" s="49">
        <f t="shared" ref="H159:H168" si="1">ROUND(E159*F159/G159,2)</f>
        <v>2.16</v>
      </c>
    </row>
    <row r="160" spans="1:8" x14ac:dyDescent="0.2">
      <c r="A160" s="59">
        <v>2</v>
      </c>
      <c r="B160" s="134" t="str">
        <f>VLOOKUP(A160,Insumos!$A$3:$E$28,3, )</f>
        <v>Calça</v>
      </c>
      <c r="C160" s="134"/>
      <c r="D160" s="134"/>
      <c r="E160" s="59">
        <v>2</v>
      </c>
      <c r="F160" s="49">
        <f>VLOOKUP(A160,Insumos!$A$3:$E$28,5, )</f>
        <v>119.83</v>
      </c>
      <c r="G160" s="59">
        <v>12</v>
      </c>
      <c r="H160" s="49">
        <f t="shared" si="1"/>
        <v>19.97</v>
      </c>
    </row>
    <row r="161" spans="1:9" x14ac:dyDescent="0.2">
      <c r="A161" s="59">
        <v>3</v>
      </c>
      <c r="B161" s="134" t="str">
        <f>VLOOKUP(A161,Insumos!$A$3:$E$28,3, )</f>
        <v>Camisa de mangas curtas</v>
      </c>
      <c r="C161" s="134"/>
      <c r="D161" s="134"/>
      <c r="E161" s="59">
        <v>3</v>
      </c>
      <c r="F161" s="49">
        <f>VLOOKUP(A161,Insumos!$A$3:$E$28,5, )</f>
        <v>93</v>
      </c>
      <c r="G161" s="59">
        <v>12</v>
      </c>
      <c r="H161" s="49">
        <f t="shared" si="1"/>
        <v>23.25</v>
      </c>
    </row>
    <row r="162" spans="1:9" x14ac:dyDescent="0.2">
      <c r="A162" s="59">
        <v>4</v>
      </c>
      <c r="B162" s="134" t="str">
        <f>VLOOKUP(A162,Insumos!$A$3:$E$28,3, )</f>
        <v>Camisa de mangas longas</v>
      </c>
      <c r="C162" s="134"/>
      <c r="D162" s="134"/>
      <c r="E162" s="59">
        <v>2</v>
      </c>
      <c r="F162" s="49">
        <f>VLOOKUP(A162,Insumos!$A$3:$E$28,5, )</f>
        <v>102.25</v>
      </c>
      <c r="G162" s="59">
        <v>12</v>
      </c>
      <c r="H162" s="49">
        <f t="shared" si="1"/>
        <v>17.04</v>
      </c>
    </row>
    <row r="163" spans="1:9" x14ac:dyDescent="0.2">
      <c r="A163" s="59">
        <v>6</v>
      </c>
      <c r="B163" s="134" t="str">
        <f>VLOOKUP(A163,Insumos!$A$3:$E$28,3, )</f>
        <v>Capa para Colete Balístico</v>
      </c>
      <c r="C163" s="134"/>
      <c r="D163" s="134"/>
      <c r="E163" s="59">
        <v>1</v>
      </c>
      <c r="F163" s="49">
        <f>VLOOKUP(A163,Insumos!$A$3:$E$28,5, )</f>
        <v>285.75</v>
      </c>
      <c r="G163" s="59">
        <v>12</v>
      </c>
      <c r="H163" s="49">
        <f t="shared" si="1"/>
        <v>23.81</v>
      </c>
    </row>
    <row r="164" spans="1:9" x14ac:dyDescent="0.2">
      <c r="A164" s="59">
        <v>8</v>
      </c>
      <c r="B164" s="134" t="str">
        <f>VLOOKUP(A164,Insumos!$A$3:$E$28,3, )</f>
        <v>Cinto de Nylon</v>
      </c>
      <c r="C164" s="134"/>
      <c r="D164" s="134"/>
      <c r="E164" s="59">
        <v>1</v>
      </c>
      <c r="F164" s="49">
        <f>VLOOKUP(A164,Insumos!$A$3:$E$28,5, )</f>
        <v>26.07</v>
      </c>
      <c r="G164" s="59">
        <v>12</v>
      </c>
      <c r="H164" s="49">
        <f t="shared" si="1"/>
        <v>2.17</v>
      </c>
    </row>
    <row r="165" spans="1:9" x14ac:dyDescent="0.2">
      <c r="A165" s="59">
        <v>12</v>
      </c>
      <c r="B165" s="134" t="str">
        <f>VLOOKUP(A165,Insumos!$A$3:$E$28,3, )</f>
        <v>Crachá de identificação</v>
      </c>
      <c r="C165" s="134"/>
      <c r="D165" s="134"/>
      <c r="E165" s="59">
        <v>1</v>
      </c>
      <c r="F165" s="49">
        <f>VLOOKUP(A165,Insumos!$A$3:$E$28,5, )</f>
        <v>6.52</v>
      </c>
      <c r="G165" s="59">
        <v>12</v>
      </c>
      <c r="H165" s="49">
        <f t="shared" si="1"/>
        <v>0.54</v>
      </c>
    </row>
    <row r="166" spans="1:9" x14ac:dyDescent="0.2">
      <c r="A166" s="59">
        <v>15</v>
      </c>
      <c r="B166" s="134" t="str">
        <f>VLOOKUP(A166,Insumos!$A$3:$E$28,3, )</f>
        <v>Jaqueta de frio/Japona</v>
      </c>
      <c r="C166" s="134"/>
      <c r="D166" s="134"/>
      <c r="E166" s="59">
        <v>1</v>
      </c>
      <c r="F166" s="49">
        <f>VLOOKUP(A166,Insumos!$A$3:$E$28,5, )</f>
        <v>173.03</v>
      </c>
      <c r="G166" s="59">
        <v>12</v>
      </c>
      <c r="H166" s="49">
        <f t="shared" si="1"/>
        <v>14.42</v>
      </c>
    </row>
    <row r="167" spans="1:9" x14ac:dyDescent="0.2">
      <c r="A167" s="59">
        <v>21</v>
      </c>
      <c r="B167" s="134" t="str">
        <f>VLOOKUP(A167,Insumos!$A$3:$E$28,3, )</f>
        <v>Quepe/Boné com emblema</v>
      </c>
      <c r="C167" s="134"/>
      <c r="D167" s="134"/>
      <c r="E167" s="59">
        <v>1</v>
      </c>
      <c r="F167" s="49">
        <f>VLOOKUP(A167,Insumos!$A$3:$E$28,5, )</f>
        <v>47.3</v>
      </c>
      <c r="G167" s="59">
        <v>12</v>
      </c>
      <c r="H167" s="49">
        <f t="shared" si="1"/>
        <v>3.94</v>
      </c>
    </row>
    <row r="168" spans="1:9" x14ac:dyDescent="0.2">
      <c r="A168" s="59">
        <v>24</v>
      </c>
      <c r="B168" s="134" t="str">
        <f>VLOOKUP(A168,Insumos!$A$3:$E$28,3, )</f>
        <v>Sapatos/coturno</v>
      </c>
      <c r="C168" s="134"/>
      <c r="D168" s="134"/>
      <c r="E168" s="59">
        <v>2</v>
      </c>
      <c r="F168" s="49">
        <f>VLOOKUP(A168,Insumos!$A$3:$E$28,5, )</f>
        <v>129.58000000000001</v>
      </c>
      <c r="G168" s="59">
        <v>12</v>
      </c>
      <c r="H168" s="49">
        <f t="shared" si="1"/>
        <v>21.6</v>
      </c>
    </row>
    <row r="169" spans="1:9" x14ac:dyDescent="0.2">
      <c r="A169" s="135" t="s">
        <v>239</v>
      </c>
      <c r="B169" s="135"/>
      <c r="C169" s="135"/>
      <c r="D169" s="135"/>
      <c r="E169" s="135"/>
      <c r="F169" s="135"/>
      <c r="G169" s="135"/>
      <c r="H169" s="58">
        <f>SUM(H159:H168)</f>
        <v>128.9</v>
      </c>
      <c r="I169" s="1"/>
    </row>
    <row r="172" spans="1:9" hidden="1" x14ac:dyDescent="0.2">
      <c r="I172" s="17"/>
    </row>
    <row r="173" spans="1:9" hidden="1" x14ac:dyDescent="0.2">
      <c r="I173" s="17"/>
    </row>
    <row r="174" spans="1:9" hidden="1" x14ac:dyDescent="0.2"/>
    <row r="175" spans="1:9" hidden="1" x14ac:dyDescent="0.2"/>
  </sheetData>
  <mergeCells count="198">
    <mergeCell ref="B164:D164"/>
    <mergeCell ref="B165:D165"/>
    <mergeCell ref="B166:D166"/>
    <mergeCell ref="B167:D167"/>
    <mergeCell ref="B168:D168"/>
    <mergeCell ref="A169:G169"/>
    <mergeCell ref="A155:G155"/>
    <mergeCell ref="A156:H156"/>
    <mergeCell ref="A157:H157"/>
    <mergeCell ref="B158:D158"/>
    <mergeCell ref="B159:D159"/>
    <mergeCell ref="B160:D160"/>
    <mergeCell ref="B161:D161"/>
    <mergeCell ref="B162:D162"/>
    <mergeCell ref="B163:D163"/>
    <mergeCell ref="A150:H150"/>
    <mergeCell ref="A151:H151"/>
    <mergeCell ref="A152:C152"/>
    <mergeCell ref="D152:F152"/>
    <mergeCell ref="G152:H152"/>
    <mergeCell ref="A153:C153"/>
    <mergeCell ref="D153:F153"/>
    <mergeCell ref="G153:H153"/>
    <mergeCell ref="A154:H154"/>
    <mergeCell ref="A143:H143"/>
    <mergeCell ref="A144:G144"/>
    <mergeCell ref="A145:H145"/>
    <mergeCell ref="A146:H146"/>
    <mergeCell ref="A147:H147"/>
    <mergeCell ref="A148:C148"/>
    <mergeCell ref="D148:F148"/>
    <mergeCell ref="G148:H148"/>
    <mergeCell ref="A149:C149"/>
    <mergeCell ref="D149:F149"/>
    <mergeCell ref="G149:H149"/>
    <mergeCell ref="A138:C138"/>
    <mergeCell ref="D138:E138"/>
    <mergeCell ref="F138:G138"/>
    <mergeCell ref="A139:H139"/>
    <mergeCell ref="A140:H140"/>
    <mergeCell ref="A141:C141"/>
    <mergeCell ref="D141:E141"/>
    <mergeCell ref="F141:G141"/>
    <mergeCell ref="A142:C142"/>
    <mergeCell ref="D142:E142"/>
    <mergeCell ref="F142:G142"/>
    <mergeCell ref="A130:G130"/>
    <mergeCell ref="A131:G131"/>
    <mergeCell ref="A132:G132"/>
    <mergeCell ref="A133:H133"/>
    <mergeCell ref="A134:H134"/>
    <mergeCell ref="A135:H135"/>
    <mergeCell ref="A136:H136"/>
    <mergeCell ref="A137:C137"/>
    <mergeCell ref="D137:E137"/>
    <mergeCell ref="F137:G137"/>
    <mergeCell ref="B121:G121"/>
    <mergeCell ref="A122:G122"/>
    <mergeCell ref="A123:H123"/>
    <mergeCell ref="A124:H124"/>
    <mergeCell ref="A125:G125"/>
    <mergeCell ref="A126:G126"/>
    <mergeCell ref="A127:G127"/>
    <mergeCell ref="A128:G128"/>
    <mergeCell ref="A129:G129"/>
    <mergeCell ref="B112:E112"/>
    <mergeCell ref="A113:G113"/>
    <mergeCell ref="A114:H114"/>
    <mergeCell ref="A115:G115"/>
    <mergeCell ref="B116:G116"/>
    <mergeCell ref="B117:G117"/>
    <mergeCell ref="B118:G118"/>
    <mergeCell ref="B119:G119"/>
    <mergeCell ref="B120:G120"/>
    <mergeCell ref="B103:G103"/>
    <mergeCell ref="A104:G104"/>
    <mergeCell ref="A105:H105"/>
    <mergeCell ref="A106:H106"/>
    <mergeCell ref="A107:E107"/>
    <mergeCell ref="B108:E108"/>
    <mergeCell ref="B109:E109"/>
    <mergeCell ref="B110:H110"/>
    <mergeCell ref="B111:E111"/>
    <mergeCell ref="A94:G94"/>
    <mergeCell ref="B95:F95"/>
    <mergeCell ref="A96:G96"/>
    <mergeCell ref="A97:H97"/>
    <mergeCell ref="A98:H98"/>
    <mergeCell ref="A99:G99"/>
    <mergeCell ref="B100:G100"/>
    <mergeCell ref="B101:G101"/>
    <mergeCell ref="B102:G102"/>
    <mergeCell ref="A85:H85"/>
    <mergeCell ref="A86:G86"/>
    <mergeCell ref="B87:F87"/>
    <mergeCell ref="B88:F88"/>
    <mergeCell ref="B89:F89"/>
    <mergeCell ref="B90:F90"/>
    <mergeCell ref="B91:F91"/>
    <mergeCell ref="B92:F92"/>
    <mergeCell ref="B93:F93"/>
    <mergeCell ref="A76:G76"/>
    <mergeCell ref="A77:G77"/>
    <mergeCell ref="B78:E78"/>
    <mergeCell ref="B79:E79"/>
    <mergeCell ref="B80:F80"/>
    <mergeCell ref="B81:F81"/>
    <mergeCell ref="A82:F82"/>
    <mergeCell ref="A83:G83"/>
    <mergeCell ref="A84:H84"/>
    <mergeCell ref="A67:H67"/>
    <mergeCell ref="A68:H68"/>
    <mergeCell ref="A69:G69"/>
    <mergeCell ref="B70:E70"/>
    <mergeCell ref="B71:E71"/>
    <mergeCell ref="B72:F72"/>
    <mergeCell ref="B73:F73"/>
    <mergeCell ref="A74:F74"/>
    <mergeCell ref="A75:H75"/>
    <mergeCell ref="B58:G58"/>
    <mergeCell ref="B59:G59"/>
    <mergeCell ref="A60:G60"/>
    <mergeCell ref="A61:H61"/>
    <mergeCell ref="A62:H62"/>
    <mergeCell ref="B63:G63"/>
    <mergeCell ref="B64:G64"/>
    <mergeCell ref="B65:G65"/>
    <mergeCell ref="A66:G66"/>
    <mergeCell ref="B49:F49"/>
    <mergeCell ref="B50:F50"/>
    <mergeCell ref="B51:F51"/>
    <mergeCell ref="B52:F52"/>
    <mergeCell ref="B53:F53"/>
    <mergeCell ref="A54:F54"/>
    <mergeCell ref="A55:H55"/>
    <mergeCell ref="B56:G56"/>
    <mergeCell ref="B57:G57"/>
    <mergeCell ref="B39:F39"/>
    <mergeCell ref="B40:F40"/>
    <mergeCell ref="B41:F41"/>
    <mergeCell ref="A42:G42"/>
    <mergeCell ref="A43:H43"/>
    <mergeCell ref="A44:G44"/>
    <mergeCell ref="B45:F45"/>
    <mergeCell ref="B46:F46"/>
    <mergeCell ref="B47:F47"/>
    <mergeCell ref="A29:G29"/>
    <mergeCell ref="A30:H30"/>
    <mergeCell ref="B31:G31"/>
    <mergeCell ref="B33:G33"/>
    <mergeCell ref="A34:G34"/>
    <mergeCell ref="A35:H35"/>
    <mergeCell ref="A36:G36"/>
    <mergeCell ref="A37:H37"/>
    <mergeCell ref="A38:H38"/>
    <mergeCell ref="B21:F21"/>
    <mergeCell ref="G21:H21"/>
    <mergeCell ref="A22:H22"/>
    <mergeCell ref="A23:H23"/>
    <mergeCell ref="B24:F24"/>
    <mergeCell ref="B25:F25"/>
    <mergeCell ref="B26:F26"/>
    <mergeCell ref="B27:F27"/>
    <mergeCell ref="B28:F28"/>
    <mergeCell ref="B16:F16"/>
    <mergeCell ref="G16:H16"/>
    <mergeCell ref="B17:F17"/>
    <mergeCell ref="G17:H17"/>
    <mergeCell ref="B18:F18"/>
    <mergeCell ref="G18:H18"/>
    <mergeCell ref="B19:F19"/>
    <mergeCell ref="G19:H19"/>
    <mergeCell ref="B20:F20"/>
    <mergeCell ref="G20:H20"/>
    <mergeCell ref="B32:G32"/>
    <mergeCell ref="A1:H1"/>
    <mergeCell ref="A2:H2"/>
    <mergeCell ref="A3:H3"/>
    <mergeCell ref="A4:H4"/>
    <mergeCell ref="A5:H5"/>
    <mergeCell ref="A6:B6"/>
    <mergeCell ref="C6:H6"/>
    <mergeCell ref="A7:B7"/>
    <mergeCell ref="C7:H7"/>
    <mergeCell ref="A8:H8"/>
    <mergeCell ref="A9:H9"/>
    <mergeCell ref="B10:D10"/>
    <mergeCell ref="E10:H10"/>
    <mergeCell ref="B11:F11"/>
    <mergeCell ref="G11:H11"/>
    <mergeCell ref="B12:F12"/>
    <mergeCell ref="G12:H12"/>
    <mergeCell ref="B13:F13"/>
    <mergeCell ref="G13:H13"/>
    <mergeCell ref="B14:F14"/>
    <mergeCell ref="G14:H14"/>
    <mergeCell ref="B15:F15"/>
    <mergeCell ref="G15:H15"/>
  </mergeCells>
  <printOptions horizontalCentered="1"/>
  <pageMargins left="0.39374999999999999" right="0.39374999999999999" top="0.39374999999999999" bottom="0.39374999999999999" header="0.51180555555555496" footer="0.51180555555555496"/>
  <pageSetup paperSize="9" scale="77" fitToHeight="0" orientation="portrait" horizontalDpi="300" verticalDpi="300" r:id="rId1"/>
  <rowBreaks count="2" manualBreakCount="2">
    <brk id="66" max="16383" man="1"/>
    <brk id="13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7BC65"/>
    <pageSetUpPr fitToPage="1"/>
  </sheetPr>
  <dimension ref="A1:AL174"/>
  <sheetViews>
    <sheetView zoomScaleNormal="100" workbookViewId="0">
      <selection sqref="A1:H1"/>
    </sheetView>
  </sheetViews>
  <sheetFormatPr defaultColWidth="0" defaultRowHeight="12.75" zeroHeight="1" x14ac:dyDescent="0.2"/>
  <cols>
    <col min="1" max="1" width="5.5703125" style="20" customWidth="1"/>
    <col min="2" max="2" width="17.42578125" style="20" customWidth="1"/>
    <col min="3" max="3" width="19.5703125" style="20" customWidth="1"/>
    <col min="4" max="4" width="19.85546875" style="20" customWidth="1"/>
    <col min="5" max="5" width="16.42578125" style="20" customWidth="1"/>
    <col min="6" max="6" width="13.85546875" style="20" customWidth="1"/>
    <col min="7" max="7" width="14.7109375" style="21" customWidth="1"/>
    <col min="8" max="8" width="18.85546875" style="22" customWidth="1"/>
    <col min="9" max="9" width="51" style="23" customWidth="1"/>
    <col min="10" max="38" width="11.5703125" style="3" hidden="1" customWidth="1"/>
    <col min="39" max="1024" width="11.5703125" hidden="1" customWidth="1"/>
    <col min="1025" max="16384" width="11.5703125" hidden="1"/>
  </cols>
  <sheetData>
    <row r="1" spans="1:38" ht="15.75" x14ac:dyDescent="0.2">
      <c r="A1" s="107" t="s">
        <v>1</v>
      </c>
      <c r="B1" s="107"/>
      <c r="C1" s="107"/>
      <c r="D1" s="107"/>
      <c r="E1" s="107"/>
      <c r="F1" s="107"/>
      <c r="G1" s="107"/>
      <c r="H1" s="107"/>
      <c r="I1" s="2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</row>
    <row r="2" spans="1:38" ht="15.75" x14ac:dyDescent="0.2">
      <c r="A2" s="107" t="s">
        <v>2</v>
      </c>
      <c r="B2" s="107"/>
      <c r="C2" s="107"/>
      <c r="D2" s="107"/>
      <c r="E2" s="107"/>
      <c r="F2" s="107"/>
      <c r="G2" s="107"/>
      <c r="H2" s="107"/>
      <c r="I2" s="2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</row>
    <row r="3" spans="1:38" ht="15.75" x14ac:dyDescent="0.2">
      <c r="A3" s="107" t="s">
        <v>3</v>
      </c>
      <c r="B3" s="107"/>
      <c r="C3" s="107"/>
      <c r="D3" s="107"/>
      <c r="E3" s="107"/>
      <c r="F3" s="107"/>
      <c r="G3" s="107"/>
      <c r="H3" s="107"/>
      <c r="I3" s="2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</row>
    <row r="4" spans="1:38" ht="15.75" x14ac:dyDescent="0.2">
      <c r="A4" s="108"/>
      <c r="B4" s="108"/>
      <c r="C4" s="108"/>
      <c r="D4" s="108"/>
      <c r="E4" s="108"/>
      <c r="F4" s="108"/>
      <c r="G4" s="108"/>
      <c r="H4" s="108"/>
      <c r="I4" s="24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</row>
    <row r="5" spans="1:38" ht="15.75" x14ac:dyDescent="0.2">
      <c r="A5" s="107" t="s">
        <v>77</v>
      </c>
      <c r="B5" s="107"/>
      <c r="C5" s="107"/>
      <c r="D5" s="107"/>
      <c r="E5" s="107"/>
      <c r="F5" s="107"/>
      <c r="G5" s="107"/>
      <c r="H5" s="107"/>
      <c r="I5" s="24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38" x14ac:dyDescent="0.2">
      <c r="A6" s="109" t="s">
        <v>78</v>
      </c>
      <c r="B6" s="109"/>
      <c r="C6" s="95" t="str">
        <f>'2'!C6</f>
        <v>23205.003378/2023-69</v>
      </c>
      <c r="D6" s="95"/>
      <c r="E6" s="95"/>
      <c r="F6" s="95"/>
      <c r="G6" s="95"/>
      <c r="H6" s="95"/>
    </row>
    <row r="7" spans="1:38" x14ac:dyDescent="0.2">
      <c r="A7" s="109" t="s">
        <v>79</v>
      </c>
      <c r="B7" s="109"/>
      <c r="C7" s="95" t="str">
        <f>'2'!C7</f>
        <v>Pregão Eletrônico nº 03/2023</v>
      </c>
      <c r="D7" s="95"/>
      <c r="E7" s="95"/>
      <c r="F7" s="95"/>
      <c r="G7" s="95"/>
      <c r="H7" s="95"/>
    </row>
    <row r="8" spans="1:38" x14ac:dyDescent="0.2">
      <c r="A8" s="110"/>
      <c r="B8" s="110"/>
      <c r="C8" s="110"/>
      <c r="D8" s="110"/>
      <c r="E8" s="110"/>
      <c r="F8" s="110"/>
      <c r="G8" s="110"/>
      <c r="H8" s="110"/>
    </row>
    <row r="9" spans="1:38" x14ac:dyDescent="0.2">
      <c r="A9" s="111" t="s">
        <v>80</v>
      </c>
      <c r="B9" s="111"/>
      <c r="C9" s="111"/>
      <c r="D9" s="111"/>
      <c r="E9" s="111"/>
      <c r="F9" s="111"/>
      <c r="G9" s="111"/>
      <c r="H9" s="111"/>
    </row>
    <row r="10" spans="1:38" x14ac:dyDescent="0.2">
      <c r="A10" s="25" t="s">
        <v>81</v>
      </c>
      <c r="B10" s="112" t="s">
        <v>82</v>
      </c>
      <c r="C10" s="112"/>
      <c r="D10" s="112"/>
      <c r="E10" s="95" t="s">
        <v>249</v>
      </c>
      <c r="F10" s="95"/>
      <c r="G10" s="95"/>
      <c r="H10" s="95"/>
    </row>
    <row r="11" spans="1:38" x14ac:dyDescent="0.2">
      <c r="A11" s="25" t="s">
        <v>84</v>
      </c>
      <c r="B11" s="112" t="s">
        <v>85</v>
      </c>
      <c r="C11" s="112"/>
      <c r="D11" s="112"/>
      <c r="E11" s="112"/>
      <c r="F11" s="112"/>
      <c r="G11" s="113">
        <f>Proposta!C7</f>
        <v>44967</v>
      </c>
      <c r="H11" s="113"/>
    </row>
    <row r="12" spans="1:38" x14ac:dyDescent="0.2">
      <c r="A12" s="25" t="s">
        <v>86</v>
      </c>
      <c r="B12" s="112" t="s">
        <v>87</v>
      </c>
      <c r="C12" s="112"/>
      <c r="D12" s="112"/>
      <c r="E12" s="112"/>
      <c r="F12" s="112"/>
      <c r="G12" s="95" t="s">
        <v>88</v>
      </c>
      <c r="H12" s="95"/>
    </row>
    <row r="13" spans="1:38" x14ac:dyDescent="0.2">
      <c r="A13" s="25" t="s">
        <v>89</v>
      </c>
      <c r="B13" s="112" t="s">
        <v>90</v>
      </c>
      <c r="C13" s="112"/>
      <c r="D13" s="112"/>
      <c r="E13" s="112"/>
      <c r="F13" s="112"/>
      <c r="G13" s="95" t="s">
        <v>91</v>
      </c>
      <c r="H13" s="95"/>
    </row>
    <row r="14" spans="1:38" x14ac:dyDescent="0.2">
      <c r="A14" s="25" t="s">
        <v>92</v>
      </c>
      <c r="B14" s="112" t="s">
        <v>93</v>
      </c>
      <c r="C14" s="112"/>
      <c r="D14" s="112"/>
      <c r="E14" s="112"/>
      <c r="F14" s="112"/>
      <c r="G14" s="95" t="s">
        <v>94</v>
      </c>
      <c r="H14" s="95"/>
    </row>
    <row r="15" spans="1:38" x14ac:dyDescent="0.2">
      <c r="A15" s="25" t="s">
        <v>95</v>
      </c>
      <c r="B15" s="112" t="s">
        <v>96</v>
      </c>
      <c r="C15" s="112"/>
      <c r="D15" s="112"/>
      <c r="E15" s="112"/>
      <c r="F15" s="112"/>
      <c r="G15" s="95" t="s">
        <v>275</v>
      </c>
      <c r="H15" s="95"/>
      <c r="I15" s="77" t="s">
        <v>276</v>
      </c>
    </row>
    <row r="16" spans="1:38" ht="14.65" customHeight="1" x14ac:dyDescent="0.2">
      <c r="A16" s="25" t="s">
        <v>97</v>
      </c>
      <c r="B16" s="114" t="s">
        <v>98</v>
      </c>
      <c r="C16" s="114"/>
      <c r="D16" s="114"/>
      <c r="E16" s="114"/>
      <c r="F16" s="114"/>
      <c r="G16" s="115" t="s">
        <v>99</v>
      </c>
      <c r="H16" s="115"/>
    </row>
    <row r="17" spans="1:38" x14ac:dyDescent="0.2">
      <c r="A17" s="25" t="s">
        <v>100</v>
      </c>
      <c r="B17" s="106" t="s">
        <v>101</v>
      </c>
      <c r="C17" s="106"/>
      <c r="D17" s="106"/>
      <c r="E17" s="106"/>
      <c r="F17" s="106"/>
      <c r="G17" s="116">
        <v>44593</v>
      </c>
      <c r="H17" s="116"/>
    </row>
    <row r="18" spans="1:38" x14ac:dyDescent="0.2">
      <c r="A18" s="25" t="s">
        <v>102</v>
      </c>
      <c r="B18" s="112" t="s">
        <v>103</v>
      </c>
      <c r="C18" s="112"/>
      <c r="D18" s="112"/>
      <c r="E18" s="112"/>
      <c r="F18" s="112"/>
      <c r="G18" s="95">
        <v>12</v>
      </c>
      <c r="H18" s="95">
        <v>30</v>
      </c>
    </row>
    <row r="19" spans="1:38" x14ac:dyDescent="0.2">
      <c r="A19" s="25" t="s">
        <v>104</v>
      </c>
      <c r="B19" s="112" t="s">
        <v>105</v>
      </c>
      <c r="C19" s="112"/>
      <c r="D19" s="112"/>
      <c r="E19" s="112"/>
      <c r="F19" s="112"/>
      <c r="G19" s="95" t="s">
        <v>106</v>
      </c>
      <c r="H19" s="95"/>
      <c r="AH19"/>
      <c r="AI19"/>
      <c r="AJ19"/>
      <c r="AK19"/>
      <c r="AL19"/>
    </row>
    <row r="20" spans="1:38" x14ac:dyDescent="0.2">
      <c r="A20" s="25" t="s">
        <v>107</v>
      </c>
      <c r="B20" s="112" t="s">
        <v>21</v>
      </c>
      <c r="C20" s="112"/>
      <c r="D20" s="112"/>
      <c r="E20" s="112"/>
      <c r="F20" s="112"/>
      <c r="G20" s="95">
        <v>1</v>
      </c>
      <c r="H20" s="95"/>
      <c r="AH20"/>
      <c r="AI20"/>
      <c r="AJ20"/>
      <c r="AK20"/>
      <c r="AL20"/>
    </row>
    <row r="21" spans="1:38" x14ac:dyDescent="0.2">
      <c r="A21" s="25" t="s">
        <v>108</v>
      </c>
      <c r="B21" s="114" t="s">
        <v>109</v>
      </c>
      <c r="C21" s="114"/>
      <c r="D21" s="114"/>
      <c r="E21" s="114"/>
      <c r="F21" s="114"/>
      <c r="G21" s="117">
        <v>2</v>
      </c>
      <c r="H21" s="117"/>
      <c r="AH21"/>
      <c r="AI21"/>
      <c r="AJ21"/>
      <c r="AK21"/>
      <c r="AL21"/>
    </row>
    <row r="22" spans="1:38" x14ac:dyDescent="0.2">
      <c r="A22" s="118"/>
      <c r="B22" s="118"/>
      <c r="C22" s="118"/>
      <c r="D22" s="118"/>
      <c r="E22" s="118"/>
      <c r="F22" s="118"/>
      <c r="G22" s="118"/>
      <c r="H22" s="118"/>
      <c r="AH22"/>
      <c r="AI22"/>
      <c r="AJ22"/>
      <c r="AK22"/>
      <c r="AL22"/>
    </row>
    <row r="23" spans="1:38" x14ac:dyDescent="0.2">
      <c r="A23" s="119" t="s">
        <v>110</v>
      </c>
      <c r="B23" s="119"/>
      <c r="C23" s="119"/>
      <c r="D23" s="119"/>
      <c r="E23" s="119"/>
      <c r="F23" s="119"/>
      <c r="G23" s="119"/>
      <c r="H23" s="119"/>
      <c r="AH23"/>
      <c r="AI23"/>
      <c r="AJ23"/>
      <c r="AK23"/>
      <c r="AL23"/>
    </row>
    <row r="24" spans="1:38" x14ac:dyDescent="0.2">
      <c r="A24" s="50" t="s">
        <v>111</v>
      </c>
      <c r="B24" s="109" t="s">
        <v>112</v>
      </c>
      <c r="C24" s="109"/>
      <c r="D24" s="109"/>
      <c r="E24" s="109"/>
      <c r="F24" s="109"/>
      <c r="G24" s="51" t="s">
        <v>113</v>
      </c>
      <c r="H24" s="52" t="s">
        <v>114</v>
      </c>
      <c r="AE24"/>
      <c r="AF24"/>
      <c r="AG24"/>
      <c r="AH24"/>
      <c r="AI24"/>
      <c r="AJ24"/>
      <c r="AK24"/>
      <c r="AL24"/>
    </row>
    <row r="25" spans="1:38" x14ac:dyDescent="0.2">
      <c r="A25" s="70" t="s">
        <v>81</v>
      </c>
      <c r="B25" s="106" t="s">
        <v>115</v>
      </c>
      <c r="C25" s="106"/>
      <c r="D25" s="106"/>
      <c r="E25" s="106"/>
      <c r="F25" s="106"/>
      <c r="G25" s="71"/>
      <c r="H25" s="55">
        <v>1764.4</v>
      </c>
      <c r="AE25"/>
      <c r="AF25"/>
      <c r="AG25"/>
      <c r="AH25"/>
      <c r="AI25"/>
      <c r="AJ25"/>
      <c r="AK25"/>
      <c r="AL25"/>
    </row>
    <row r="26" spans="1:38" x14ac:dyDescent="0.2">
      <c r="A26" s="70" t="s">
        <v>84</v>
      </c>
      <c r="B26" s="106" t="s">
        <v>116</v>
      </c>
      <c r="C26" s="106"/>
      <c r="D26" s="106"/>
      <c r="E26" s="106"/>
      <c r="F26" s="106"/>
      <c r="G26" s="71">
        <v>0.3</v>
      </c>
      <c r="H26" s="55">
        <f>H25*G26</f>
        <v>529.32000000000005</v>
      </c>
      <c r="AE26"/>
      <c r="AF26"/>
      <c r="AG26"/>
      <c r="AH26"/>
      <c r="AI26"/>
      <c r="AJ26"/>
      <c r="AK26"/>
      <c r="AL26"/>
    </row>
    <row r="27" spans="1:38" x14ac:dyDescent="0.2">
      <c r="A27" s="70" t="s">
        <v>86</v>
      </c>
      <c r="B27" s="106" t="s">
        <v>117</v>
      </c>
      <c r="C27" s="106"/>
      <c r="D27" s="106"/>
      <c r="E27" s="106"/>
      <c r="F27" s="106"/>
      <c r="G27" s="71"/>
      <c r="H27" s="55">
        <f>((H25+H26)/220*G27)*7*15</f>
        <v>0</v>
      </c>
      <c r="AE27"/>
      <c r="AF27"/>
      <c r="AG27"/>
      <c r="AH27"/>
      <c r="AI27"/>
      <c r="AJ27"/>
      <c r="AK27"/>
      <c r="AL27"/>
    </row>
    <row r="28" spans="1:38" x14ac:dyDescent="0.2">
      <c r="A28" s="70" t="s">
        <v>89</v>
      </c>
      <c r="B28" s="106" t="s">
        <v>118</v>
      </c>
      <c r="C28" s="106"/>
      <c r="D28" s="106"/>
      <c r="E28" s="106"/>
      <c r="F28" s="106"/>
      <c r="G28" s="71"/>
      <c r="H28" s="55">
        <v>0</v>
      </c>
      <c r="AE28"/>
      <c r="AF28"/>
      <c r="AG28"/>
      <c r="AH28"/>
      <c r="AI28"/>
      <c r="AJ28"/>
      <c r="AK28"/>
      <c r="AL28"/>
    </row>
    <row r="29" spans="1:38" x14ac:dyDescent="0.2">
      <c r="A29" s="109" t="s">
        <v>120</v>
      </c>
      <c r="B29" s="109"/>
      <c r="C29" s="109"/>
      <c r="D29" s="109"/>
      <c r="E29" s="109"/>
      <c r="F29" s="109"/>
      <c r="G29" s="109"/>
      <c r="H29" s="56">
        <f>SUM(H25:H28)</f>
        <v>2293.7200000000003</v>
      </c>
      <c r="AE29"/>
      <c r="AF29"/>
      <c r="AG29"/>
      <c r="AH29"/>
      <c r="AI29"/>
      <c r="AJ29"/>
      <c r="AK29"/>
      <c r="AL29"/>
    </row>
    <row r="30" spans="1:38" x14ac:dyDescent="0.2">
      <c r="A30" s="132"/>
      <c r="B30" s="132"/>
      <c r="C30" s="132"/>
      <c r="D30" s="132"/>
      <c r="E30" s="132"/>
      <c r="F30" s="132"/>
      <c r="G30" s="132"/>
      <c r="H30" s="132"/>
      <c r="AE30"/>
      <c r="AF30"/>
      <c r="AG30"/>
      <c r="AH30"/>
      <c r="AI30"/>
      <c r="AJ30"/>
      <c r="AK30"/>
      <c r="AL30"/>
    </row>
    <row r="31" spans="1:38" x14ac:dyDescent="0.2">
      <c r="A31" s="57" t="s">
        <v>121</v>
      </c>
      <c r="B31" s="109" t="s">
        <v>122</v>
      </c>
      <c r="C31" s="109"/>
      <c r="D31" s="109"/>
      <c r="E31" s="109"/>
      <c r="F31" s="109"/>
      <c r="G31" s="109"/>
      <c r="H31" s="52" t="s">
        <v>114</v>
      </c>
      <c r="AE31"/>
      <c r="AF31"/>
      <c r="AG31"/>
      <c r="AH31"/>
      <c r="AI31"/>
      <c r="AJ31"/>
      <c r="AK31"/>
      <c r="AL31"/>
    </row>
    <row r="32" spans="1:38" x14ac:dyDescent="0.2">
      <c r="A32" s="70" t="s">
        <v>92</v>
      </c>
      <c r="B32" s="106" t="s">
        <v>123</v>
      </c>
      <c r="C32" s="106"/>
      <c r="D32" s="106"/>
      <c r="E32" s="106"/>
      <c r="F32" s="106"/>
      <c r="G32" s="106"/>
      <c r="H32" s="55">
        <f>(H25/220)*1.5*15</f>
        <v>180.45</v>
      </c>
      <c r="AE32"/>
      <c r="AF32"/>
      <c r="AG32"/>
      <c r="AH32"/>
      <c r="AI32"/>
      <c r="AJ32"/>
      <c r="AK32"/>
      <c r="AL32"/>
    </row>
    <row r="33" spans="1:38" x14ac:dyDescent="0.2">
      <c r="A33" s="70" t="s">
        <v>95</v>
      </c>
      <c r="B33" s="106" t="s">
        <v>119</v>
      </c>
      <c r="C33" s="106"/>
      <c r="D33" s="106"/>
      <c r="E33" s="106"/>
      <c r="F33" s="106"/>
      <c r="G33" s="106"/>
      <c r="H33" s="55">
        <f>1.34*15</f>
        <v>20.100000000000001</v>
      </c>
      <c r="AE33"/>
      <c r="AF33"/>
      <c r="AG33"/>
      <c r="AH33"/>
      <c r="AI33"/>
      <c r="AJ33"/>
      <c r="AK33"/>
      <c r="AL33"/>
    </row>
    <row r="34" spans="1:38" x14ac:dyDescent="0.2">
      <c r="A34" s="109" t="s">
        <v>124</v>
      </c>
      <c r="B34" s="109"/>
      <c r="C34" s="109"/>
      <c r="D34" s="109"/>
      <c r="E34" s="109"/>
      <c r="F34" s="109"/>
      <c r="G34" s="109"/>
      <c r="H34" s="56">
        <f>SUM(H32:H33)</f>
        <v>200.54999999999998</v>
      </c>
      <c r="AE34"/>
      <c r="AF34"/>
      <c r="AG34"/>
      <c r="AH34"/>
      <c r="AI34"/>
      <c r="AJ34"/>
      <c r="AK34"/>
      <c r="AL34"/>
    </row>
    <row r="35" spans="1:38" x14ac:dyDescent="0.2">
      <c r="A35" s="132"/>
      <c r="B35" s="132"/>
      <c r="C35" s="132"/>
      <c r="D35" s="132"/>
      <c r="E35" s="132"/>
      <c r="F35" s="132"/>
      <c r="G35" s="132"/>
      <c r="H35" s="132"/>
      <c r="AE35"/>
      <c r="AF35"/>
      <c r="AG35"/>
      <c r="AH35"/>
      <c r="AI35"/>
      <c r="AJ35"/>
      <c r="AK35"/>
      <c r="AL35"/>
    </row>
    <row r="36" spans="1:38" x14ac:dyDescent="0.2">
      <c r="A36" s="109" t="s">
        <v>125</v>
      </c>
      <c r="B36" s="109"/>
      <c r="C36" s="109"/>
      <c r="D36" s="109"/>
      <c r="E36" s="109"/>
      <c r="F36" s="109"/>
      <c r="G36" s="109"/>
      <c r="H36" s="56">
        <f>SUM(H29,H34)</f>
        <v>2494.2700000000004</v>
      </c>
      <c r="AE36"/>
      <c r="AF36"/>
      <c r="AG36"/>
      <c r="AH36"/>
      <c r="AI36"/>
      <c r="AJ36"/>
      <c r="AK36"/>
      <c r="AL36"/>
    </row>
    <row r="37" spans="1:38" x14ac:dyDescent="0.2">
      <c r="A37" s="118"/>
      <c r="B37" s="118"/>
      <c r="C37" s="118"/>
      <c r="D37" s="118"/>
      <c r="E37" s="118"/>
      <c r="F37" s="118"/>
      <c r="G37" s="118"/>
      <c r="H37" s="118"/>
      <c r="AE37"/>
      <c r="AF37"/>
      <c r="AG37"/>
      <c r="AH37"/>
      <c r="AI37"/>
      <c r="AJ37"/>
      <c r="AK37"/>
      <c r="AL37"/>
    </row>
    <row r="38" spans="1:38" x14ac:dyDescent="0.2">
      <c r="A38" s="120" t="s">
        <v>126</v>
      </c>
      <c r="B38" s="120"/>
      <c r="C38" s="120"/>
      <c r="D38" s="120"/>
      <c r="E38" s="120"/>
      <c r="F38" s="120"/>
      <c r="G38" s="120"/>
      <c r="H38" s="120"/>
      <c r="AH38"/>
      <c r="AI38"/>
      <c r="AJ38"/>
      <c r="AK38"/>
      <c r="AL38"/>
    </row>
    <row r="39" spans="1:38" x14ac:dyDescent="0.2">
      <c r="A39" s="50" t="s">
        <v>127</v>
      </c>
      <c r="B39" s="109" t="s">
        <v>128</v>
      </c>
      <c r="C39" s="109"/>
      <c r="D39" s="109"/>
      <c r="E39" s="109"/>
      <c r="F39" s="109"/>
      <c r="G39" s="50" t="s">
        <v>129</v>
      </c>
      <c r="H39" s="58" t="s">
        <v>114</v>
      </c>
      <c r="AH39"/>
      <c r="AI39"/>
      <c r="AJ39"/>
      <c r="AK39"/>
      <c r="AL39"/>
    </row>
    <row r="40" spans="1:38" ht="14.65" customHeight="1" x14ac:dyDescent="0.2">
      <c r="A40" s="59" t="s">
        <v>81</v>
      </c>
      <c r="B40" s="121" t="s">
        <v>130</v>
      </c>
      <c r="C40" s="121"/>
      <c r="D40" s="121"/>
      <c r="E40" s="121"/>
      <c r="F40" s="121"/>
      <c r="G40" s="27">
        <f>1/12</f>
        <v>8.3333333333333329E-2</v>
      </c>
      <c r="H40" s="28">
        <f>H29*G40</f>
        <v>191.14333333333335</v>
      </c>
      <c r="AH40"/>
      <c r="AI40"/>
      <c r="AJ40"/>
      <c r="AK40"/>
      <c r="AL40"/>
    </row>
    <row r="41" spans="1:38" ht="14.65" customHeight="1" x14ac:dyDescent="0.2">
      <c r="A41" s="59" t="s">
        <v>84</v>
      </c>
      <c r="B41" s="121" t="s">
        <v>243</v>
      </c>
      <c r="C41" s="121"/>
      <c r="D41" s="121"/>
      <c r="E41" s="121"/>
      <c r="F41" s="121"/>
      <c r="G41" s="78">
        <v>3.0249999999999999E-2</v>
      </c>
      <c r="H41" s="28">
        <f>H29*G41</f>
        <v>69.38503</v>
      </c>
      <c r="AH41"/>
      <c r="AI41"/>
      <c r="AJ41"/>
      <c r="AK41"/>
      <c r="AL41"/>
    </row>
    <row r="42" spans="1:38" x14ac:dyDescent="0.2">
      <c r="A42" s="109" t="s">
        <v>132</v>
      </c>
      <c r="B42" s="109"/>
      <c r="C42" s="109"/>
      <c r="D42" s="109"/>
      <c r="E42" s="109"/>
      <c r="F42" s="109"/>
      <c r="G42" s="109"/>
      <c r="H42" s="58">
        <f>SUM(H40:H41)</f>
        <v>260.52836333333335</v>
      </c>
      <c r="AH42"/>
      <c r="AI42"/>
      <c r="AJ42"/>
      <c r="AK42"/>
      <c r="AL42"/>
    </row>
    <row r="43" spans="1:38" x14ac:dyDescent="0.2">
      <c r="A43" s="135"/>
      <c r="B43" s="135"/>
      <c r="C43" s="135"/>
      <c r="D43" s="135"/>
      <c r="E43" s="135"/>
      <c r="F43" s="135"/>
      <c r="G43" s="135"/>
      <c r="H43" s="135"/>
      <c r="AH43"/>
      <c r="AI43"/>
      <c r="AJ43"/>
      <c r="AK43"/>
      <c r="AL43"/>
    </row>
    <row r="44" spans="1:38" x14ac:dyDescent="0.2">
      <c r="A44" s="109" t="s">
        <v>133</v>
      </c>
      <c r="B44" s="109"/>
      <c r="C44" s="109"/>
      <c r="D44" s="109"/>
      <c r="E44" s="109"/>
      <c r="F44" s="109"/>
      <c r="G44" s="109"/>
      <c r="H44" s="55">
        <f>SUM(H29,H42)</f>
        <v>2554.2483633333336</v>
      </c>
      <c r="AH44"/>
      <c r="AI44"/>
      <c r="AJ44"/>
      <c r="AK44"/>
      <c r="AL44"/>
    </row>
    <row r="45" spans="1:38" x14ac:dyDescent="0.2">
      <c r="A45" s="57" t="s">
        <v>134</v>
      </c>
      <c r="B45" s="109" t="s">
        <v>135</v>
      </c>
      <c r="C45" s="109"/>
      <c r="D45" s="109"/>
      <c r="E45" s="109"/>
      <c r="F45" s="109"/>
      <c r="G45" s="50" t="s">
        <v>136</v>
      </c>
      <c r="H45" s="58" t="s">
        <v>114</v>
      </c>
      <c r="AH45"/>
      <c r="AI45"/>
      <c r="AJ45"/>
      <c r="AK45"/>
      <c r="AL45"/>
    </row>
    <row r="46" spans="1:38" x14ac:dyDescent="0.2">
      <c r="A46" s="53" t="s">
        <v>81</v>
      </c>
      <c r="B46" s="106" t="s">
        <v>137</v>
      </c>
      <c r="C46" s="106"/>
      <c r="D46" s="106"/>
      <c r="E46" s="106"/>
      <c r="F46" s="106"/>
      <c r="G46" s="54">
        <v>0.2</v>
      </c>
      <c r="H46" s="55">
        <f t="shared" ref="H46:H53" si="0">$H$44*G46</f>
        <v>510.84967266666672</v>
      </c>
      <c r="AH46"/>
      <c r="AI46"/>
      <c r="AJ46"/>
      <c r="AK46"/>
      <c r="AL46"/>
    </row>
    <row r="47" spans="1:38" x14ac:dyDescent="0.2">
      <c r="A47" s="53" t="s">
        <v>84</v>
      </c>
      <c r="B47" s="106" t="s">
        <v>138</v>
      </c>
      <c r="C47" s="106"/>
      <c r="D47" s="106"/>
      <c r="E47" s="106"/>
      <c r="F47" s="106"/>
      <c r="G47" s="54">
        <v>2.5000000000000001E-2</v>
      </c>
      <c r="H47" s="55">
        <f t="shared" si="0"/>
        <v>63.85620908333334</v>
      </c>
      <c r="AH47"/>
      <c r="AI47"/>
      <c r="AJ47"/>
      <c r="AK47"/>
      <c r="AL47"/>
    </row>
    <row r="48" spans="1:38" x14ac:dyDescent="0.2">
      <c r="A48" s="53" t="s">
        <v>86</v>
      </c>
      <c r="B48" s="73" t="s">
        <v>139</v>
      </c>
      <c r="C48" s="79" t="s">
        <v>277</v>
      </c>
      <c r="D48" s="70">
        <v>3</v>
      </c>
      <c r="E48" s="79" t="s">
        <v>278</v>
      </c>
      <c r="F48" s="80">
        <v>1</v>
      </c>
      <c r="G48" s="81">
        <f>D48*F48/100</f>
        <v>0.03</v>
      </c>
      <c r="H48" s="55">
        <f t="shared" si="0"/>
        <v>76.627450899999999</v>
      </c>
      <c r="I48" s="23" t="s">
        <v>279</v>
      </c>
      <c r="AH48"/>
      <c r="AI48"/>
      <c r="AJ48"/>
      <c r="AK48"/>
      <c r="AL48"/>
    </row>
    <row r="49" spans="1:38" x14ac:dyDescent="0.2">
      <c r="A49" s="53" t="s">
        <v>89</v>
      </c>
      <c r="B49" s="106" t="s">
        <v>140</v>
      </c>
      <c r="C49" s="106"/>
      <c r="D49" s="106"/>
      <c r="E49" s="106"/>
      <c r="F49" s="106"/>
      <c r="G49" s="54">
        <v>1.4999999999999999E-2</v>
      </c>
      <c r="H49" s="55">
        <f t="shared" si="0"/>
        <v>38.31372545</v>
      </c>
      <c r="AH49"/>
      <c r="AI49"/>
      <c r="AJ49"/>
      <c r="AK49"/>
      <c r="AL49"/>
    </row>
    <row r="50" spans="1:38" x14ac:dyDescent="0.2">
      <c r="A50" s="53" t="s">
        <v>92</v>
      </c>
      <c r="B50" s="106" t="s">
        <v>141</v>
      </c>
      <c r="C50" s="106"/>
      <c r="D50" s="106"/>
      <c r="E50" s="106"/>
      <c r="F50" s="106"/>
      <c r="G50" s="54">
        <v>0.01</v>
      </c>
      <c r="H50" s="55">
        <f t="shared" si="0"/>
        <v>25.542483633333337</v>
      </c>
      <c r="AH50"/>
      <c r="AI50"/>
      <c r="AJ50"/>
      <c r="AK50"/>
      <c r="AL50"/>
    </row>
    <row r="51" spans="1:38" x14ac:dyDescent="0.2">
      <c r="A51" s="53" t="s">
        <v>95</v>
      </c>
      <c r="B51" s="106" t="s">
        <v>142</v>
      </c>
      <c r="C51" s="106"/>
      <c r="D51" s="106"/>
      <c r="E51" s="106"/>
      <c r="F51" s="106"/>
      <c r="G51" s="54">
        <v>6.0000000000000001E-3</v>
      </c>
      <c r="H51" s="55">
        <f t="shared" si="0"/>
        <v>15.325490180000003</v>
      </c>
      <c r="AH51"/>
      <c r="AI51"/>
      <c r="AJ51"/>
      <c r="AK51"/>
      <c r="AL51"/>
    </row>
    <row r="52" spans="1:38" x14ac:dyDescent="0.2">
      <c r="A52" s="53" t="s">
        <v>97</v>
      </c>
      <c r="B52" s="106" t="s">
        <v>143</v>
      </c>
      <c r="C52" s="106"/>
      <c r="D52" s="106"/>
      <c r="E52" s="106"/>
      <c r="F52" s="106"/>
      <c r="G52" s="54">
        <v>2E-3</v>
      </c>
      <c r="H52" s="55">
        <f t="shared" si="0"/>
        <v>5.108496726666667</v>
      </c>
      <c r="AH52"/>
      <c r="AI52"/>
      <c r="AJ52"/>
      <c r="AK52"/>
      <c r="AL52"/>
    </row>
    <row r="53" spans="1:38" x14ac:dyDescent="0.2">
      <c r="A53" s="53" t="s">
        <v>100</v>
      </c>
      <c r="B53" s="106" t="s">
        <v>144</v>
      </c>
      <c r="C53" s="106"/>
      <c r="D53" s="106"/>
      <c r="E53" s="106"/>
      <c r="F53" s="106"/>
      <c r="G53" s="54">
        <v>0.08</v>
      </c>
      <c r="H53" s="55">
        <f t="shared" si="0"/>
        <v>204.33986906666669</v>
      </c>
      <c r="AH53"/>
      <c r="AI53"/>
      <c r="AJ53"/>
      <c r="AK53"/>
      <c r="AL53"/>
    </row>
    <row r="54" spans="1:38" x14ac:dyDescent="0.2">
      <c r="A54" s="109" t="s">
        <v>145</v>
      </c>
      <c r="B54" s="109"/>
      <c r="C54" s="109"/>
      <c r="D54" s="109"/>
      <c r="E54" s="109"/>
      <c r="F54" s="109"/>
      <c r="G54" s="60">
        <f>SUM(G46:G53)</f>
        <v>0.36800000000000005</v>
      </c>
      <c r="H54" s="56">
        <f>SUM(H46:H53)</f>
        <v>939.96339770666668</v>
      </c>
      <c r="AH54"/>
      <c r="AI54"/>
      <c r="AJ54"/>
      <c r="AK54"/>
      <c r="AL54"/>
    </row>
    <row r="55" spans="1:38" x14ac:dyDescent="0.2">
      <c r="A55" s="135"/>
      <c r="B55" s="135"/>
      <c r="C55" s="135"/>
      <c r="D55" s="135"/>
      <c r="E55" s="135"/>
      <c r="F55" s="135"/>
      <c r="G55" s="135"/>
      <c r="H55" s="135"/>
      <c r="AH55"/>
      <c r="AI55"/>
      <c r="AJ55"/>
      <c r="AK55"/>
      <c r="AL55"/>
    </row>
    <row r="56" spans="1:38" x14ac:dyDescent="0.2">
      <c r="A56" s="57" t="s">
        <v>146</v>
      </c>
      <c r="B56" s="109" t="s">
        <v>147</v>
      </c>
      <c r="C56" s="109"/>
      <c r="D56" s="109"/>
      <c r="E56" s="109"/>
      <c r="F56" s="109"/>
      <c r="G56" s="109"/>
      <c r="H56" s="58" t="s">
        <v>114</v>
      </c>
      <c r="AH56"/>
      <c r="AI56"/>
      <c r="AJ56"/>
      <c r="AK56"/>
      <c r="AL56"/>
    </row>
    <row r="57" spans="1:38" x14ac:dyDescent="0.2">
      <c r="A57" s="59" t="s">
        <v>81</v>
      </c>
      <c r="B57" s="106" t="s">
        <v>148</v>
      </c>
      <c r="C57" s="106"/>
      <c r="D57" s="106"/>
      <c r="E57" s="106"/>
      <c r="F57" s="106"/>
      <c r="G57" s="106"/>
      <c r="H57" s="55">
        <f>H144</f>
        <v>0</v>
      </c>
      <c r="AH57"/>
      <c r="AI57"/>
      <c r="AJ57"/>
      <c r="AK57"/>
      <c r="AL57"/>
    </row>
    <row r="58" spans="1:38" x14ac:dyDescent="0.2">
      <c r="A58" s="59" t="s">
        <v>84</v>
      </c>
      <c r="B58" s="106" t="s">
        <v>149</v>
      </c>
      <c r="C58" s="106"/>
      <c r="D58" s="106"/>
      <c r="E58" s="106"/>
      <c r="F58" s="106"/>
      <c r="G58" s="106"/>
      <c r="H58" s="55">
        <f>H155</f>
        <v>287.16000000000003</v>
      </c>
      <c r="AH58"/>
      <c r="AI58"/>
      <c r="AJ58"/>
      <c r="AK58"/>
      <c r="AL58"/>
    </row>
    <row r="59" spans="1:38" x14ac:dyDescent="0.2">
      <c r="A59" s="59" t="s">
        <v>86</v>
      </c>
      <c r="B59" s="106" t="s">
        <v>150</v>
      </c>
      <c r="C59" s="106"/>
      <c r="D59" s="106"/>
      <c r="E59" s="106"/>
      <c r="F59" s="106"/>
      <c r="G59" s="106"/>
      <c r="H59" s="55">
        <v>0</v>
      </c>
      <c r="AH59"/>
      <c r="AI59"/>
      <c r="AJ59"/>
      <c r="AK59"/>
      <c r="AL59"/>
    </row>
    <row r="60" spans="1:38" x14ac:dyDescent="0.2">
      <c r="A60" s="109" t="s">
        <v>151</v>
      </c>
      <c r="B60" s="109"/>
      <c r="C60" s="109"/>
      <c r="D60" s="109"/>
      <c r="E60" s="109"/>
      <c r="F60" s="109"/>
      <c r="G60" s="109"/>
      <c r="H60" s="56">
        <f>SUM(H57:H59)</f>
        <v>287.16000000000003</v>
      </c>
      <c r="AH60"/>
      <c r="AI60"/>
      <c r="AJ60"/>
      <c r="AK60"/>
      <c r="AL60"/>
    </row>
    <row r="61" spans="1:38" x14ac:dyDescent="0.2">
      <c r="A61" s="123"/>
      <c r="B61" s="123"/>
      <c r="C61" s="123"/>
      <c r="D61" s="123"/>
      <c r="E61" s="123"/>
      <c r="F61" s="123"/>
      <c r="G61" s="123"/>
      <c r="H61" s="123"/>
      <c r="AH61"/>
      <c r="AI61"/>
      <c r="AJ61"/>
      <c r="AK61"/>
      <c r="AL61"/>
    </row>
    <row r="62" spans="1:38" x14ac:dyDescent="0.2">
      <c r="A62" s="120" t="s">
        <v>152</v>
      </c>
      <c r="B62" s="120"/>
      <c r="C62" s="120"/>
      <c r="D62" s="120"/>
      <c r="E62" s="120"/>
      <c r="F62" s="120"/>
      <c r="G62" s="120"/>
      <c r="H62" s="120"/>
      <c r="AH62"/>
      <c r="AI62"/>
      <c r="AJ62"/>
      <c r="AK62"/>
      <c r="AL62"/>
    </row>
    <row r="63" spans="1:38" x14ac:dyDescent="0.2">
      <c r="A63" s="53" t="s">
        <v>127</v>
      </c>
      <c r="B63" s="106" t="s">
        <v>153</v>
      </c>
      <c r="C63" s="106"/>
      <c r="D63" s="106"/>
      <c r="E63" s="106"/>
      <c r="F63" s="106"/>
      <c r="G63" s="106"/>
      <c r="H63" s="55">
        <f>ROUND(H42,2)</f>
        <v>260.52999999999997</v>
      </c>
      <c r="AH63"/>
      <c r="AI63"/>
      <c r="AJ63"/>
      <c r="AK63"/>
      <c r="AL63"/>
    </row>
    <row r="64" spans="1:38" x14ac:dyDescent="0.2">
      <c r="A64" s="53" t="s">
        <v>134</v>
      </c>
      <c r="B64" s="106" t="s">
        <v>154</v>
      </c>
      <c r="C64" s="106"/>
      <c r="D64" s="106"/>
      <c r="E64" s="106"/>
      <c r="F64" s="106"/>
      <c r="G64" s="106"/>
      <c r="H64" s="55">
        <f>ROUND(H54,2)</f>
        <v>939.96</v>
      </c>
      <c r="AH64"/>
      <c r="AI64"/>
      <c r="AJ64"/>
      <c r="AK64"/>
      <c r="AL64"/>
    </row>
    <row r="65" spans="1:38" x14ac:dyDescent="0.2">
      <c r="A65" s="53" t="s">
        <v>146</v>
      </c>
      <c r="B65" s="106" t="s">
        <v>155</v>
      </c>
      <c r="C65" s="106"/>
      <c r="D65" s="106"/>
      <c r="E65" s="106"/>
      <c r="F65" s="106"/>
      <c r="G65" s="106"/>
      <c r="H65" s="55">
        <f>ROUND(H60,2)</f>
        <v>287.16000000000003</v>
      </c>
      <c r="AH65"/>
      <c r="AI65"/>
      <c r="AJ65"/>
      <c r="AK65"/>
      <c r="AL65"/>
    </row>
    <row r="66" spans="1:38" x14ac:dyDescent="0.2">
      <c r="A66" s="109" t="s">
        <v>156</v>
      </c>
      <c r="B66" s="109"/>
      <c r="C66" s="109"/>
      <c r="D66" s="109"/>
      <c r="E66" s="109"/>
      <c r="F66" s="109"/>
      <c r="G66" s="109"/>
      <c r="H66" s="56">
        <f>SUM(H63:H65)</f>
        <v>1487.65</v>
      </c>
      <c r="AH66"/>
      <c r="AI66"/>
      <c r="AJ66"/>
      <c r="AK66"/>
      <c r="AL66"/>
    </row>
    <row r="67" spans="1:38" x14ac:dyDescent="0.2">
      <c r="A67" s="123"/>
      <c r="B67" s="123"/>
      <c r="C67" s="123"/>
      <c r="D67" s="123"/>
      <c r="E67" s="123"/>
      <c r="F67" s="123"/>
      <c r="G67" s="123"/>
      <c r="H67" s="123"/>
      <c r="AH67"/>
      <c r="AI67"/>
      <c r="AJ67"/>
      <c r="AK67"/>
      <c r="AL67"/>
    </row>
    <row r="68" spans="1:38" x14ac:dyDescent="0.2">
      <c r="A68" s="119" t="s">
        <v>157</v>
      </c>
      <c r="B68" s="119"/>
      <c r="C68" s="119"/>
      <c r="D68" s="119"/>
      <c r="E68" s="119"/>
      <c r="F68" s="119"/>
      <c r="G68" s="119"/>
      <c r="H68" s="119"/>
      <c r="AH68"/>
      <c r="AI68"/>
      <c r="AJ68"/>
      <c r="AK68"/>
      <c r="AL68"/>
    </row>
    <row r="69" spans="1:38" x14ac:dyDescent="0.2">
      <c r="A69" s="109" t="s">
        <v>158</v>
      </c>
      <c r="B69" s="109"/>
      <c r="C69" s="109"/>
      <c r="D69" s="109"/>
      <c r="E69" s="109"/>
      <c r="F69" s="109"/>
      <c r="G69" s="109"/>
      <c r="H69" s="55">
        <f>H36+H40+H41+H88</f>
        <v>2962.953453333334</v>
      </c>
      <c r="AH69"/>
      <c r="AI69"/>
      <c r="AJ69"/>
      <c r="AK69"/>
      <c r="AL69"/>
    </row>
    <row r="70" spans="1:38" x14ac:dyDescent="0.2">
      <c r="A70" s="25" t="s">
        <v>159</v>
      </c>
      <c r="B70" s="92" t="s">
        <v>160</v>
      </c>
      <c r="C70" s="92"/>
      <c r="D70" s="92"/>
      <c r="E70" s="92"/>
      <c r="F70" s="25" t="s">
        <v>161</v>
      </c>
      <c r="G70" s="25" t="s">
        <v>136</v>
      </c>
      <c r="H70" s="29" t="s">
        <v>114</v>
      </c>
      <c r="AH70"/>
      <c r="AI70"/>
      <c r="AJ70"/>
      <c r="AK70"/>
      <c r="AL70"/>
    </row>
    <row r="71" spans="1:38" x14ac:dyDescent="0.2">
      <c r="A71" s="26" t="s">
        <v>81</v>
      </c>
      <c r="B71" s="124" t="s">
        <v>162</v>
      </c>
      <c r="C71" s="124"/>
      <c r="D71" s="124"/>
      <c r="E71" s="124"/>
      <c r="F71" s="30">
        <v>0.05</v>
      </c>
      <c r="G71" s="31">
        <f>(1/12)*(30/30)*F71</f>
        <v>4.1666666666666666E-3</v>
      </c>
      <c r="H71" s="32">
        <f>H69*G71</f>
        <v>12.345639388888891</v>
      </c>
      <c r="AH71"/>
      <c r="AI71"/>
      <c r="AJ71"/>
      <c r="AK71"/>
      <c r="AL71"/>
    </row>
    <row r="72" spans="1:38" x14ac:dyDescent="0.2">
      <c r="A72" s="26" t="s">
        <v>84</v>
      </c>
      <c r="B72" s="112" t="s">
        <v>163</v>
      </c>
      <c r="C72" s="112"/>
      <c r="D72" s="112"/>
      <c r="E72" s="112"/>
      <c r="F72" s="112"/>
      <c r="G72" s="31">
        <f>G53</f>
        <v>0.08</v>
      </c>
      <c r="H72" s="32">
        <f>H71*G72</f>
        <v>0.98765115111111135</v>
      </c>
      <c r="AH72"/>
      <c r="AI72"/>
      <c r="AJ72"/>
      <c r="AK72"/>
      <c r="AL72"/>
    </row>
    <row r="73" spans="1:38" x14ac:dyDescent="0.2">
      <c r="A73" s="26" t="s">
        <v>86</v>
      </c>
      <c r="B73" s="112" t="s">
        <v>164</v>
      </c>
      <c r="C73" s="112"/>
      <c r="D73" s="112"/>
      <c r="E73" s="112"/>
      <c r="F73" s="112"/>
      <c r="G73" s="31">
        <f>40%*G72*F71</f>
        <v>1.6000000000000001E-3</v>
      </c>
      <c r="H73" s="32">
        <f>H69*G73</f>
        <v>4.7407255253333345</v>
      </c>
      <c r="AH73"/>
      <c r="AI73"/>
      <c r="AJ73"/>
      <c r="AK73"/>
      <c r="AL73"/>
    </row>
    <row r="74" spans="1:38" x14ac:dyDescent="0.2">
      <c r="A74" s="92" t="s">
        <v>165</v>
      </c>
      <c r="B74" s="92"/>
      <c r="C74" s="92"/>
      <c r="D74" s="92"/>
      <c r="E74" s="92"/>
      <c r="F74" s="92"/>
      <c r="G74" s="33"/>
      <c r="H74" s="34">
        <f>ROUND(SUM(H71:H73),2)</f>
        <v>18.07</v>
      </c>
      <c r="AH74"/>
      <c r="AI74"/>
      <c r="AJ74"/>
      <c r="AK74"/>
      <c r="AL74"/>
    </row>
    <row r="75" spans="1:38" x14ac:dyDescent="0.2">
      <c r="A75" s="109"/>
      <c r="B75" s="109"/>
      <c r="C75" s="109"/>
      <c r="D75" s="109"/>
      <c r="E75" s="109"/>
      <c r="F75" s="109"/>
      <c r="G75" s="109"/>
      <c r="H75" s="109"/>
      <c r="AH75"/>
      <c r="AI75"/>
      <c r="AJ75"/>
      <c r="AK75"/>
      <c r="AL75"/>
    </row>
    <row r="76" spans="1:38" x14ac:dyDescent="0.2">
      <c r="A76" s="109" t="s">
        <v>158</v>
      </c>
      <c r="B76" s="109"/>
      <c r="C76" s="109"/>
      <c r="D76" s="109"/>
      <c r="E76" s="109"/>
      <c r="F76" s="109"/>
      <c r="G76" s="109"/>
      <c r="H76" s="32">
        <f>H29</f>
        <v>2293.7200000000003</v>
      </c>
      <c r="AH76"/>
      <c r="AI76"/>
      <c r="AJ76"/>
      <c r="AK76"/>
      <c r="AL76"/>
    </row>
    <row r="77" spans="1:38" x14ac:dyDescent="0.2">
      <c r="A77" s="109" t="s">
        <v>166</v>
      </c>
      <c r="B77" s="109"/>
      <c r="C77" s="109"/>
      <c r="D77" s="109"/>
      <c r="E77" s="109"/>
      <c r="F77" s="109"/>
      <c r="G77" s="109"/>
      <c r="H77" s="32">
        <f>H29+H40+H41+H88</f>
        <v>2762.4034533333338</v>
      </c>
      <c r="AH77"/>
      <c r="AI77"/>
      <c r="AJ77"/>
      <c r="AK77"/>
      <c r="AL77"/>
    </row>
    <row r="78" spans="1:38" x14ac:dyDescent="0.2">
      <c r="A78" s="25" t="s">
        <v>167</v>
      </c>
      <c r="B78" s="92" t="s">
        <v>168</v>
      </c>
      <c r="C78" s="92"/>
      <c r="D78" s="92"/>
      <c r="E78" s="92"/>
      <c r="F78" s="35" t="s">
        <v>169</v>
      </c>
      <c r="G78" s="33" t="s">
        <v>136</v>
      </c>
      <c r="H78" s="29" t="s">
        <v>114</v>
      </c>
      <c r="AH78"/>
      <c r="AI78"/>
      <c r="AJ78"/>
      <c r="AK78"/>
      <c r="AL78"/>
    </row>
    <row r="79" spans="1:38" x14ac:dyDescent="0.2">
      <c r="A79" s="26" t="s">
        <v>81</v>
      </c>
      <c r="B79" s="124" t="s">
        <v>170</v>
      </c>
      <c r="C79" s="124"/>
      <c r="D79" s="124"/>
      <c r="E79" s="124"/>
      <c r="F79" s="30">
        <v>1</v>
      </c>
      <c r="G79" s="31">
        <f>7/12/30*F79</f>
        <v>1.9444444444444445E-2</v>
      </c>
      <c r="H79" s="32">
        <f>H76*G79</f>
        <v>44.600111111111119</v>
      </c>
      <c r="AH79"/>
      <c r="AI79"/>
      <c r="AJ79"/>
      <c r="AK79"/>
      <c r="AL79"/>
    </row>
    <row r="80" spans="1:38" x14ac:dyDescent="0.2">
      <c r="A80" s="26" t="s">
        <v>84</v>
      </c>
      <c r="B80" s="112" t="s">
        <v>171</v>
      </c>
      <c r="C80" s="112"/>
      <c r="D80" s="112"/>
      <c r="E80" s="112"/>
      <c r="F80" s="112"/>
      <c r="G80" s="31">
        <f>G54</f>
        <v>0.36800000000000005</v>
      </c>
      <c r="H80" s="32">
        <f>H79*G80</f>
        <v>16.412840888888894</v>
      </c>
      <c r="AH80"/>
      <c r="AI80"/>
      <c r="AJ80"/>
      <c r="AK80"/>
      <c r="AL80"/>
    </row>
    <row r="81" spans="1:38" x14ac:dyDescent="0.2">
      <c r="A81" s="26" t="s">
        <v>86</v>
      </c>
      <c r="B81" s="112" t="s">
        <v>172</v>
      </c>
      <c r="C81" s="112"/>
      <c r="D81" s="112"/>
      <c r="E81" s="112"/>
      <c r="F81" s="112"/>
      <c r="G81" s="31">
        <f>40%*G53*F79</f>
        <v>3.2000000000000001E-2</v>
      </c>
      <c r="H81" s="28">
        <f>G81*H77</f>
        <v>88.396910506666686</v>
      </c>
      <c r="AH81"/>
      <c r="AI81"/>
      <c r="AJ81"/>
      <c r="AK81"/>
      <c r="AL81"/>
    </row>
    <row r="82" spans="1:38" x14ac:dyDescent="0.2">
      <c r="A82" s="92" t="s">
        <v>173</v>
      </c>
      <c r="B82" s="92"/>
      <c r="C82" s="92"/>
      <c r="D82" s="92"/>
      <c r="E82" s="92"/>
      <c r="F82" s="92"/>
      <c r="G82" s="33"/>
      <c r="H82" s="34">
        <f>ROUND(SUM(H79:H81),2)</f>
        <v>149.41</v>
      </c>
      <c r="AH82"/>
      <c r="AI82"/>
      <c r="AJ82"/>
      <c r="AK82"/>
      <c r="AL82"/>
    </row>
    <row r="83" spans="1:38" x14ac:dyDescent="0.2">
      <c r="A83" s="92" t="s">
        <v>174</v>
      </c>
      <c r="B83" s="92"/>
      <c r="C83" s="92"/>
      <c r="D83" s="92"/>
      <c r="E83" s="92"/>
      <c r="F83" s="92"/>
      <c r="G83" s="92"/>
      <c r="H83" s="29">
        <f>SUM(H74,H82)</f>
        <v>167.48</v>
      </c>
      <c r="AH83"/>
      <c r="AI83"/>
      <c r="AJ83"/>
      <c r="AK83"/>
      <c r="AL83"/>
    </row>
    <row r="84" spans="1:38" x14ac:dyDescent="0.2">
      <c r="A84" s="123"/>
      <c r="B84" s="123"/>
      <c r="C84" s="123"/>
      <c r="D84" s="123"/>
      <c r="E84" s="123"/>
      <c r="F84" s="123"/>
      <c r="G84" s="123"/>
      <c r="H84" s="123"/>
      <c r="AH84"/>
      <c r="AI84"/>
      <c r="AJ84"/>
      <c r="AK84"/>
      <c r="AL84"/>
    </row>
    <row r="85" spans="1:38" x14ac:dyDescent="0.2">
      <c r="A85" s="120" t="s">
        <v>175</v>
      </c>
      <c r="B85" s="120"/>
      <c r="C85" s="120"/>
      <c r="D85" s="120"/>
      <c r="E85" s="120"/>
      <c r="F85" s="120"/>
      <c r="G85" s="120"/>
      <c r="H85" s="120"/>
      <c r="AH85"/>
      <c r="AI85"/>
      <c r="AJ85"/>
      <c r="AK85"/>
      <c r="AL85"/>
    </row>
    <row r="86" spans="1:38" x14ac:dyDescent="0.2">
      <c r="A86" s="109" t="s">
        <v>176</v>
      </c>
      <c r="B86" s="109"/>
      <c r="C86" s="109"/>
      <c r="D86" s="109"/>
      <c r="E86" s="109"/>
      <c r="F86" s="109"/>
      <c r="G86" s="109"/>
      <c r="H86" s="55">
        <f>+H29+H42+H88</f>
        <v>2762.4034533333338</v>
      </c>
      <c r="AH86"/>
      <c r="AI86"/>
      <c r="AJ86"/>
      <c r="AK86"/>
      <c r="AL86"/>
    </row>
    <row r="87" spans="1:38" x14ac:dyDescent="0.2">
      <c r="A87" s="50" t="s">
        <v>177</v>
      </c>
      <c r="B87" s="109" t="s">
        <v>178</v>
      </c>
      <c r="C87" s="109"/>
      <c r="D87" s="109"/>
      <c r="E87" s="109"/>
      <c r="F87" s="109"/>
      <c r="G87" s="25" t="s">
        <v>136</v>
      </c>
      <c r="H87" s="58" t="s">
        <v>114</v>
      </c>
      <c r="AH87"/>
      <c r="AI87"/>
      <c r="AJ87"/>
      <c r="AK87"/>
      <c r="AL87"/>
    </row>
    <row r="88" spans="1:38" x14ac:dyDescent="0.2">
      <c r="A88" s="59" t="s">
        <v>81</v>
      </c>
      <c r="B88" s="125" t="s">
        <v>179</v>
      </c>
      <c r="C88" s="125"/>
      <c r="D88" s="125"/>
      <c r="E88" s="125"/>
      <c r="F88" s="125"/>
      <c r="G88" s="82">
        <v>9.0749999999999997E-2</v>
      </c>
      <c r="H88" s="55">
        <f>H29*G88</f>
        <v>208.15509000000003</v>
      </c>
      <c r="AH88"/>
      <c r="AI88"/>
      <c r="AJ88"/>
      <c r="AK88"/>
      <c r="AL88"/>
    </row>
    <row r="89" spans="1:38" x14ac:dyDescent="0.2">
      <c r="A89" s="59" t="s">
        <v>84</v>
      </c>
      <c r="B89" s="125" t="s">
        <v>180</v>
      </c>
      <c r="C89" s="125"/>
      <c r="D89" s="125"/>
      <c r="E89" s="125"/>
      <c r="F89" s="125"/>
      <c r="G89" s="61">
        <f>2.96/30/12</f>
        <v>8.2222222222222228E-3</v>
      </c>
      <c r="H89" s="55">
        <f>H86*G89</f>
        <v>22.713095060740745</v>
      </c>
      <c r="AH89"/>
      <c r="AI89"/>
      <c r="AJ89"/>
      <c r="AK89"/>
      <c r="AL89"/>
    </row>
    <row r="90" spans="1:38" x14ac:dyDescent="0.2">
      <c r="A90" s="59" t="s">
        <v>86</v>
      </c>
      <c r="B90" s="125" t="s">
        <v>181</v>
      </c>
      <c r="C90" s="125"/>
      <c r="D90" s="125"/>
      <c r="E90" s="125"/>
      <c r="F90" s="125"/>
      <c r="G90" s="61">
        <f>5/30/12*0.015</f>
        <v>2.0833333333333332E-4</v>
      </c>
      <c r="H90" s="55">
        <f>H86*G90</f>
        <v>0.57550071944444448</v>
      </c>
      <c r="AH90"/>
      <c r="AI90"/>
      <c r="AJ90"/>
      <c r="AK90"/>
      <c r="AL90"/>
    </row>
    <row r="91" spans="1:38" x14ac:dyDescent="0.2">
      <c r="A91" s="59" t="s">
        <v>89</v>
      </c>
      <c r="B91" s="125" t="s">
        <v>182</v>
      </c>
      <c r="C91" s="125"/>
      <c r="D91" s="125"/>
      <c r="E91" s="125"/>
      <c r="F91" s="125"/>
      <c r="G91" s="61">
        <f>15/30/12*0.0078</f>
        <v>3.2499999999999999E-4</v>
      </c>
      <c r="H91" s="55">
        <f>H86*G91</f>
        <v>0.8977811223333334</v>
      </c>
      <c r="AH91"/>
      <c r="AI91"/>
      <c r="AJ91"/>
      <c r="AK91"/>
      <c r="AL91"/>
    </row>
    <row r="92" spans="1:38" x14ac:dyDescent="0.2">
      <c r="A92" s="59" t="s">
        <v>92</v>
      </c>
      <c r="B92" s="125" t="s">
        <v>183</v>
      </c>
      <c r="C92" s="125"/>
      <c r="D92" s="125"/>
      <c r="E92" s="125"/>
      <c r="F92" s="125"/>
      <c r="G92" s="61">
        <f>4/12*0.02</f>
        <v>6.6666666666666662E-3</v>
      </c>
      <c r="H92" s="55">
        <f>(((H29+H42)/12)*G92)</f>
        <v>1.4190268685185186</v>
      </c>
      <c r="AH92"/>
      <c r="AI92"/>
      <c r="AJ92"/>
      <c r="AK92"/>
      <c r="AL92"/>
    </row>
    <row r="93" spans="1:38" x14ac:dyDescent="0.2">
      <c r="A93" s="59" t="s">
        <v>95</v>
      </c>
      <c r="B93" s="125" t="s">
        <v>150</v>
      </c>
      <c r="C93" s="125"/>
      <c r="D93" s="125"/>
      <c r="E93" s="125"/>
      <c r="F93" s="125"/>
      <c r="G93" s="61"/>
      <c r="H93" s="55">
        <v>0</v>
      </c>
      <c r="AH93"/>
      <c r="AI93"/>
      <c r="AJ93"/>
      <c r="AK93"/>
      <c r="AL93"/>
    </row>
    <row r="94" spans="1:38" x14ac:dyDescent="0.2">
      <c r="A94" s="109" t="s">
        <v>184</v>
      </c>
      <c r="B94" s="109"/>
      <c r="C94" s="109"/>
      <c r="D94" s="109"/>
      <c r="E94" s="109"/>
      <c r="F94" s="109"/>
      <c r="G94" s="109"/>
      <c r="H94" s="56">
        <f>SUM(H88:H93)</f>
        <v>233.76049377103709</v>
      </c>
      <c r="AH94"/>
      <c r="AI94"/>
      <c r="AJ94"/>
      <c r="AK94"/>
      <c r="AL94"/>
    </row>
    <row r="95" spans="1:38" x14ac:dyDescent="0.2">
      <c r="A95" s="59" t="s">
        <v>97</v>
      </c>
      <c r="B95" s="125" t="s">
        <v>185</v>
      </c>
      <c r="C95" s="125"/>
      <c r="D95" s="125"/>
      <c r="E95" s="125"/>
      <c r="F95" s="125"/>
      <c r="G95" s="61">
        <f>G54</f>
        <v>0.36800000000000005</v>
      </c>
      <c r="H95" s="55">
        <f>H94*G95</f>
        <v>86.023861707741659</v>
      </c>
      <c r="AH95"/>
      <c r="AI95"/>
      <c r="AJ95"/>
      <c r="AK95"/>
      <c r="AL95"/>
    </row>
    <row r="96" spans="1:38" x14ac:dyDescent="0.2">
      <c r="A96" s="109" t="s">
        <v>186</v>
      </c>
      <c r="B96" s="109"/>
      <c r="C96" s="109"/>
      <c r="D96" s="109"/>
      <c r="E96" s="109"/>
      <c r="F96" s="109"/>
      <c r="G96" s="109"/>
      <c r="H96" s="58">
        <f>ROUND(SUM(H94:H95),2)</f>
        <v>319.77999999999997</v>
      </c>
      <c r="AH96"/>
      <c r="AI96"/>
      <c r="AJ96"/>
      <c r="AK96"/>
      <c r="AL96"/>
    </row>
    <row r="97" spans="1:38" x14ac:dyDescent="0.2">
      <c r="A97" s="123"/>
      <c r="B97" s="123"/>
      <c r="C97" s="123"/>
      <c r="D97" s="123"/>
      <c r="E97" s="123"/>
      <c r="F97" s="123"/>
      <c r="G97" s="123"/>
      <c r="H97" s="123"/>
      <c r="AH97"/>
      <c r="AI97"/>
      <c r="AJ97"/>
      <c r="AK97"/>
      <c r="AL97"/>
    </row>
    <row r="98" spans="1:38" x14ac:dyDescent="0.2">
      <c r="A98" s="120" t="s">
        <v>187</v>
      </c>
      <c r="B98" s="120"/>
      <c r="C98" s="120"/>
      <c r="D98" s="120"/>
      <c r="E98" s="120"/>
      <c r="F98" s="120"/>
      <c r="G98" s="120"/>
      <c r="H98" s="120"/>
      <c r="AH98"/>
      <c r="AI98"/>
      <c r="AJ98"/>
      <c r="AK98"/>
      <c r="AL98"/>
    </row>
    <row r="99" spans="1:38" x14ac:dyDescent="0.2">
      <c r="A99" s="109" t="s">
        <v>188</v>
      </c>
      <c r="B99" s="109"/>
      <c r="C99" s="109"/>
      <c r="D99" s="109"/>
      <c r="E99" s="109"/>
      <c r="F99" s="109"/>
      <c r="G99" s="109"/>
      <c r="H99" s="58" t="s">
        <v>114</v>
      </c>
      <c r="AH99"/>
      <c r="AI99"/>
      <c r="AJ99"/>
      <c r="AK99"/>
      <c r="AL99"/>
    </row>
    <row r="100" spans="1:38" x14ac:dyDescent="0.2">
      <c r="A100" s="53" t="s">
        <v>81</v>
      </c>
      <c r="B100" s="106" t="s">
        <v>189</v>
      </c>
      <c r="C100" s="106"/>
      <c r="D100" s="106"/>
      <c r="E100" s="106"/>
      <c r="F100" s="106"/>
      <c r="G100" s="106"/>
      <c r="H100" s="55">
        <f>H169</f>
        <v>105.09</v>
      </c>
      <c r="AH100"/>
      <c r="AI100"/>
      <c r="AJ100"/>
      <c r="AK100"/>
      <c r="AL100"/>
    </row>
    <row r="101" spans="1:38" x14ac:dyDescent="0.2">
      <c r="A101" s="53" t="s">
        <v>84</v>
      </c>
      <c r="B101" s="106" t="s">
        <v>190</v>
      </c>
      <c r="C101" s="106"/>
      <c r="D101" s="106"/>
      <c r="E101" s="106"/>
      <c r="F101" s="106"/>
      <c r="G101" s="106"/>
      <c r="H101" s="55">
        <f>Combustível!F22</f>
        <v>182.74</v>
      </c>
      <c r="AH101"/>
      <c r="AI101"/>
      <c r="AJ101"/>
      <c r="AK101"/>
      <c r="AL101"/>
    </row>
    <row r="102" spans="1:38" x14ac:dyDescent="0.2">
      <c r="A102" s="53" t="s">
        <v>86</v>
      </c>
      <c r="B102" s="106" t="s">
        <v>191</v>
      </c>
      <c r="C102" s="106"/>
      <c r="D102" s="106"/>
      <c r="E102" s="106"/>
      <c r="F102" s="106"/>
      <c r="G102" s="106"/>
      <c r="H102" s="55">
        <f>Equipamentos!H35</f>
        <v>81.260000000000005</v>
      </c>
      <c r="AH102"/>
      <c r="AI102"/>
      <c r="AJ102"/>
      <c r="AK102"/>
      <c r="AL102"/>
    </row>
    <row r="103" spans="1:38" x14ac:dyDescent="0.2">
      <c r="A103" s="53" t="s">
        <v>89</v>
      </c>
      <c r="B103" s="106" t="s">
        <v>150</v>
      </c>
      <c r="C103" s="106"/>
      <c r="D103" s="106"/>
      <c r="E103" s="106"/>
      <c r="F103" s="106"/>
      <c r="G103" s="106"/>
      <c r="H103" s="55">
        <v>0</v>
      </c>
      <c r="AH103"/>
      <c r="AI103"/>
      <c r="AJ103"/>
      <c r="AK103"/>
      <c r="AL103"/>
    </row>
    <row r="104" spans="1:38" x14ac:dyDescent="0.2">
      <c r="A104" s="109" t="s">
        <v>192</v>
      </c>
      <c r="B104" s="109"/>
      <c r="C104" s="109"/>
      <c r="D104" s="109"/>
      <c r="E104" s="109"/>
      <c r="F104" s="109"/>
      <c r="G104" s="109"/>
      <c r="H104" s="58">
        <f>SUM(H100:H103)</f>
        <v>369.09000000000003</v>
      </c>
      <c r="AH104"/>
      <c r="AI104"/>
      <c r="AJ104"/>
      <c r="AK104"/>
      <c r="AL104"/>
    </row>
    <row r="105" spans="1:38" x14ac:dyDescent="0.2">
      <c r="A105" s="123"/>
      <c r="B105" s="123"/>
      <c r="C105" s="123"/>
      <c r="D105" s="123"/>
      <c r="E105" s="123"/>
      <c r="F105" s="123"/>
      <c r="G105" s="123"/>
      <c r="H105" s="123"/>
      <c r="AH105"/>
      <c r="AI105"/>
      <c r="AJ105"/>
      <c r="AK105"/>
      <c r="AL105"/>
    </row>
    <row r="106" spans="1:38" x14ac:dyDescent="0.2">
      <c r="A106" s="120" t="s">
        <v>193</v>
      </c>
      <c r="B106" s="120"/>
      <c r="C106" s="120"/>
      <c r="D106" s="120"/>
      <c r="E106" s="120"/>
      <c r="F106" s="120"/>
      <c r="G106" s="120"/>
      <c r="H106" s="120"/>
      <c r="AH106"/>
      <c r="AI106"/>
      <c r="AJ106"/>
      <c r="AK106"/>
      <c r="AL106"/>
    </row>
    <row r="107" spans="1:38" x14ac:dyDescent="0.2">
      <c r="A107" s="109" t="s">
        <v>194</v>
      </c>
      <c r="B107" s="109"/>
      <c r="C107" s="109"/>
      <c r="D107" s="109"/>
      <c r="E107" s="109"/>
      <c r="F107" s="51" t="s">
        <v>195</v>
      </c>
      <c r="G107" s="50" t="s">
        <v>136</v>
      </c>
      <c r="H107" s="58" t="s">
        <v>114</v>
      </c>
      <c r="AH107"/>
      <c r="AI107"/>
      <c r="AJ107"/>
      <c r="AK107"/>
      <c r="AL107"/>
    </row>
    <row r="108" spans="1:38" x14ac:dyDescent="0.2">
      <c r="A108" s="59" t="s">
        <v>81</v>
      </c>
      <c r="B108" s="126" t="s">
        <v>196</v>
      </c>
      <c r="C108" s="126"/>
      <c r="D108" s="126"/>
      <c r="E108" s="126"/>
      <c r="F108" s="28">
        <f>SUM(H36+H66+H83+H96+H104)</f>
        <v>4838.2700000000004</v>
      </c>
      <c r="G108" s="61">
        <v>0.03</v>
      </c>
      <c r="H108" s="32">
        <f>ROUND(F108*G108,2)</f>
        <v>145.15</v>
      </c>
      <c r="AH108"/>
      <c r="AI108"/>
      <c r="AJ108"/>
      <c r="AK108"/>
      <c r="AL108"/>
    </row>
    <row r="109" spans="1:38" x14ac:dyDescent="0.2">
      <c r="A109" s="59" t="s">
        <v>84</v>
      </c>
      <c r="B109" s="126" t="s">
        <v>197</v>
      </c>
      <c r="C109" s="126"/>
      <c r="D109" s="126"/>
      <c r="E109" s="126"/>
      <c r="F109" s="28">
        <f>SUM(F108,H108)</f>
        <v>4983.42</v>
      </c>
      <c r="G109" s="61">
        <v>6.7900000000000002E-2</v>
      </c>
      <c r="H109" s="32">
        <f>ROUND(F109*G109,2)</f>
        <v>338.37</v>
      </c>
      <c r="AH109"/>
      <c r="AI109"/>
      <c r="AJ109"/>
      <c r="AK109"/>
      <c r="AL109"/>
    </row>
    <row r="110" spans="1:38" x14ac:dyDescent="0.2">
      <c r="A110" s="59" t="s">
        <v>86</v>
      </c>
      <c r="B110" s="112" t="s">
        <v>198</v>
      </c>
      <c r="C110" s="112"/>
      <c r="D110" s="112"/>
      <c r="E110" s="112"/>
      <c r="F110" s="112"/>
      <c r="G110" s="112"/>
      <c r="H110" s="112"/>
      <c r="AH110"/>
      <c r="AI110"/>
      <c r="AJ110"/>
      <c r="AK110"/>
      <c r="AL110"/>
    </row>
    <row r="111" spans="1:38" x14ac:dyDescent="0.2">
      <c r="A111" s="59"/>
      <c r="B111" s="126" t="s">
        <v>199</v>
      </c>
      <c r="C111" s="126"/>
      <c r="D111" s="126"/>
      <c r="E111" s="126"/>
      <c r="F111" s="28">
        <f>SUM(F109,H109)</f>
        <v>5321.79</v>
      </c>
      <c r="G111" s="61">
        <v>3.6499999999999998E-2</v>
      </c>
      <c r="H111" s="32">
        <f>ROUND(F111*G111,2)</f>
        <v>194.25</v>
      </c>
      <c r="AH111"/>
      <c r="AI111"/>
      <c r="AJ111"/>
      <c r="AK111"/>
      <c r="AL111"/>
    </row>
    <row r="112" spans="1:38" x14ac:dyDescent="0.2">
      <c r="A112" s="59"/>
      <c r="B112" s="126" t="s">
        <v>200</v>
      </c>
      <c r="C112" s="126"/>
      <c r="D112" s="126"/>
      <c r="E112" s="126"/>
      <c r="F112" s="28">
        <f>SUM(F111,H111)</f>
        <v>5516.04</v>
      </c>
      <c r="G112" s="61">
        <v>0.04</v>
      </c>
      <c r="H112" s="32">
        <f>ROUND(F112*G112,2)</f>
        <v>220.64</v>
      </c>
      <c r="AH112"/>
      <c r="AI112"/>
      <c r="AJ112"/>
      <c r="AK112"/>
      <c r="AL112"/>
    </row>
    <row r="113" spans="1:38" x14ac:dyDescent="0.2">
      <c r="A113" s="109" t="s">
        <v>201</v>
      </c>
      <c r="B113" s="109"/>
      <c r="C113" s="109"/>
      <c r="D113" s="109"/>
      <c r="E113" s="109"/>
      <c r="F113" s="109"/>
      <c r="G113" s="109"/>
      <c r="H113" s="58">
        <f>SUM(H108,H109,H111,H112)</f>
        <v>898.41</v>
      </c>
      <c r="AH113"/>
      <c r="AI113"/>
      <c r="AJ113"/>
      <c r="AK113"/>
      <c r="AL113"/>
    </row>
    <row r="114" spans="1:38" x14ac:dyDescent="0.2">
      <c r="A114" s="123"/>
      <c r="B114" s="123"/>
      <c r="C114" s="123"/>
      <c r="D114" s="123"/>
      <c r="E114" s="123"/>
      <c r="F114" s="123"/>
      <c r="G114" s="123"/>
      <c r="H114" s="123"/>
      <c r="AH114"/>
      <c r="AI114"/>
      <c r="AJ114"/>
      <c r="AK114"/>
      <c r="AL114"/>
    </row>
    <row r="115" spans="1:38" x14ac:dyDescent="0.2">
      <c r="A115" s="120" t="s">
        <v>202</v>
      </c>
      <c r="B115" s="120"/>
      <c r="C115" s="120"/>
      <c r="D115" s="120"/>
      <c r="E115" s="120"/>
      <c r="F115" s="120"/>
      <c r="G115" s="120"/>
      <c r="H115" s="62" t="s">
        <v>203</v>
      </c>
      <c r="AH115"/>
      <c r="AI115"/>
      <c r="AJ115"/>
      <c r="AK115"/>
      <c r="AL115"/>
    </row>
    <row r="116" spans="1:38" x14ac:dyDescent="0.2">
      <c r="A116" s="59" t="s">
        <v>81</v>
      </c>
      <c r="B116" s="126" t="s">
        <v>204</v>
      </c>
      <c r="C116" s="126"/>
      <c r="D116" s="126"/>
      <c r="E116" s="126"/>
      <c r="F116" s="126"/>
      <c r="G116" s="126"/>
      <c r="H116" s="49">
        <f>ROUND(H36,2)</f>
        <v>2494.27</v>
      </c>
      <c r="AH116"/>
      <c r="AI116"/>
      <c r="AJ116"/>
      <c r="AK116"/>
      <c r="AL116"/>
    </row>
    <row r="117" spans="1:38" x14ac:dyDescent="0.2">
      <c r="A117" s="59" t="s">
        <v>84</v>
      </c>
      <c r="B117" s="126" t="s">
        <v>205</v>
      </c>
      <c r="C117" s="126"/>
      <c r="D117" s="126"/>
      <c r="E117" s="126"/>
      <c r="F117" s="126"/>
      <c r="G117" s="126"/>
      <c r="H117" s="49">
        <f>ROUND(H66,2)</f>
        <v>1487.65</v>
      </c>
      <c r="AH117"/>
      <c r="AI117"/>
      <c r="AJ117"/>
      <c r="AK117"/>
      <c r="AL117"/>
    </row>
    <row r="118" spans="1:38" x14ac:dyDescent="0.2">
      <c r="A118" s="59" t="s">
        <v>86</v>
      </c>
      <c r="B118" s="126" t="s">
        <v>206</v>
      </c>
      <c r="C118" s="126"/>
      <c r="D118" s="126"/>
      <c r="E118" s="126"/>
      <c r="F118" s="126"/>
      <c r="G118" s="126"/>
      <c r="H118" s="49">
        <f>ROUND(H83,2)</f>
        <v>167.48</v>
      </c>
      <c r="AH118"/>
      <c r="AI118"/>
      <c r="AJ118"/>
      <c r="AK118"/>
      <c r="AL118"/>
    </row>
    <row r="119" spans="1:38" x14ac:dyDescent="0.2">
      <c r="A119" s="59" t="s">
        <v>89</v>
      </c>
      <c r="B119" s="126" t="s">
        <v>207</v>
      </c>
      <c r="C119" s="126"/>
      <c r="D119" s="126"/>
      <c r="E119" s="126"/>
      <c r="F119" s="126"/>
      <c r="G119" s="126"/>
      <c r="H119" s="49">
        <f>ROUND(H96,2)</f>
        <v>319.77999999999997</v>
      </c>
      <c r="AH119"/>
      <c r="AI119"/>
      <c r="AJ119"/>
      <c r="AK119"/>
      <c r="AL119"/>
    </row>
    <row r="120" spans="1:38" x14ac:dyDescent="0.2">
      <c r="A120" s="59" t="s">
        <v>92</v>
      </c>
      <c r="B120" s="126" t="s">
        <v>208</v>
      </c>
      <c r="C120" s="126"/>
      <c r="D120" s="126"/>
      <c r="E120" s="126"/>
      <c r="F120" s="126"/>
      <c r="G120" s="126"/>
      <c r="H120" s="49">
        <f>ROUND(H104,2)</f>
        <v>369.09</v>
      </c>
      <c r="AH120"/>
      <c r="AI120"/>
      <c r="AJ120"/>
      <c r="AK120"/>
      <c r="AL120"/>
    </row>
    <row r="121" spans="1:38" x14ac:dyDescent="0.2">
      <c r="A121" s="59" t="s">
        <v>95</v>
      </c>
      <c r="B121" s="126" t="s">
        <v>209</v>
      </c>
      <c r="C121" s="126"/>
      <c r="D121" s="126"/>
      <c r="E121" s="126"/>
      <c r="F121" s="126"/>
      <c r="G121" s="126"/>
      <c r="H121" s="49">
        <f>ROUND(H113,2)</f>
        <v>898.41</v>
      </c>
      <c r="AH121"/>
      <c r="AI121"/>
      <c r="AJ121"/>
      <c r="AK121"/>
      <c r="AL121"/>
    </row>
    <row r="122" spans="1:38" x14ac:dyDescent="0.2">
      <c r="A122" s="109" t="s">
        <v>210</v>
      </c>
      <c r="B122" s="109"/>
      <c r="C122" s="109"/>
      <c r="D122" s="109"/>
      <c r="E122" s="109"/>
      <c r="F122" s="109"/>
      <c r="G122" s="109"/>
      <c r="H122" s="63">
        <f>SUM(H116:H121)</f>
        <v>5736.6799999999994</v>
      </c>
      <c r="AH122"/>
      <c r="AI122"/>
      <c r="AJ122"/>
      <c r="AK122"/>
      <c r="AL122"/>
    </row>
    <row r="123" spans="1:38" x14ac:dyDescent="0.2">
      <c r="A123" s="118"/>
      <c r="B123" s="118"/>
      <c r="C123" s="118"/>
      <c r="D123" s="118"/>
      <c r="E123" s="118"/>
      <c r="F123" s="118"/>
      <c r="G123" s="118"/>
      <c r="H123" s="118"/>
      <c r="AH123"/>
      <c r="AI123"/>
      <c r="AJ123"/>
      <c r="AK123"/>
      <c r="AL123"/>
    </row>
    <row r="124" spans="1:38" x14ac:dyDescent="0.2">
      <c r="A124" s="120" t="s">
        <v>211</v>
      </c>
      <c r="B124" s="120"/>
      <c r="C124" s="120"/>
      <c r="D124" s="120"/>
      <c r="E124" s="120"/>
      <c r="F124" s="120"/>
      <c r="G124" s="120"/>
      <c r="H124" s="120"/>
      <c r="AH124"/>
      <c r="AI124"/>
      <c r="AJ124"/>
      <c r="AK124"/>
      <c r="AL124"/>
    </row>
    <row r="125" spans="1:38" ht="14.65" customHeight="1" x14ac:dyDescent="0.2">
      <c r="A125" s="127" t="s">
        <v>212</v>
      </c>
      <c r="B125" s="127"/>
      <c r="C125" s="127"/>
      <c r="D125" s="127"/>
      <c r="E125" s="127"/>
      <c r="F125" s="127"/>
      <c r="G125" s="127"/>
      <c r="H125" s="64">
        <f>H122</f>
        <v>5736.6799999999994</v>
      </c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</row>
    <row r="126" spans="1:38" ht="14.65" customHeight="1" x14ac:dyDescent="0.2">
      <c r="A126" s="127" t="s">
        <v>213</v>
      </c>
      <c r="B126" s="127"/>
      <c r="C126" s="127"/>
      <c r="D126" s="127"/>
      <c r="E126" s="127"/>
      <c r="F126" s="127"/>
      <c r="G126" s="127"/>
      <c r="H126" s="65">
        <f>G21</f>
        <v>2</v>
      </c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</row>
    <row r="127" spans="1:38" ht="14.65" customHeight="1" x14ac:dyDescent="0.2">
      <c r="A127" s="127" t="s">
        <v>214</v>
      </c>
      <c r="B127" s="127"/>
      <c r="C127" s="127"/>
      <c r="D127" s="127"/>
      <c r="E127" s="127"/>
      <c r="F127" s="127"/>
      <c r="G127" s="127"/>
      <c r="H127" s="66">
        <f>H125*H126</f>
        <v>11473.359999999999</v>
      </c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</row>
    <row r="128" spans="1:38" ht="14.65" customHeight="1" x14ac:dyDescent="0.2">
      <c r="A128" s="127" t="s">
        <v>21</v>
      </c>
      <c r="B128" s="127"/>
      <c r="C128" s="127"/>
      <c r="D128" s="127"/>
      <c r="E128" s="127"/>
      <c r="F128" s="127"/>
      <c r="G128" s="127"/>
      <c r="H128" s="53">
        <f>G20</f>
        <v>1</v>
      </c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</row>
    <row r="129" spans="1:38" ht="14.65" customHeight="1" x14ac:dyDescent="0.2">
      <c r="A129" s="127" t="s">
        <v>215</v>
      </c>
      <c r="B129" s="127"/>
      <c r="C129" s="127"/>
      <c r="D129" s="127"/>
      <c r="E129" s="127"/>
      <c r="F129" s="127"/>
      <c r="G129" s="127"/>
      <c r="H129" s="66">
        <f>H127*H128</f>
        <v>11473.359999999999</v>
      </c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</row>
    <row r="130" spans="1:38" ht="14.65" customHeight="1" x14ac:dyDescent="0.2">
      <c r="A130" s="127" t="s">
        <v>216</v>
      </c>
      <c r="B130" s="127"/>
      <c r="C130" s="127"/>
      <c r="D130" s="127"/>
      <c r="E130" s="127"/>
      <c r="F130" s="127"/>
      <c r="G130" s="127"/>
      <c r="H130" s="67">
        <f>H129*12</f>
        <v>137680.31999999998</v>
      </c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</row>
    <row r="131" spans="1:38" ht="14.65" customHeight="1" x14ac:dyDescent="0.2">
      <c r="A131" s="127" t="s">
        <v>217</v>
      </c>
      <c r="B131" s="127"/>
      <c r="C131" s="127"/>
      <c r="D131" s="127"/>
      <c r="E131" s="127"/>
      <c r="F131" s="127"/>
      <c r="G131" s="127"/>
      <c r="H131" s="68">
        <f>G18</f>
        <v>12</v>
      </c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</row>
    <row r="132" spans="1:38" ht="14.65" customHeight="1" x14ac:dyDescent="0.2">
      <c r="A132" s="128" t="s">
        <v>218</v>
      </c>
      <c r="B132" s="128"/>
      <c r="C132" s="128"/>
      <c r="D132" s="128"/>
      <c r="E132" s="128"/>
      <c r="F132" s="128"/>
      <c r="G132" s="128"/>
      <c r="H132" s="69">
        <f>H129*H131</f>
        <v>137680.31999999998</v>
      </c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</row>
    <row r="133" spans="1:38" x14ac:dyDescent="0.2">
      <c r="A133" s="118"/>
      <c r="B133" s="118"/>
      <c r="C133" s="118"/>
      <c r="D133" s="118"/>
      <c r="E133" s="118"/>
      <c r="F133" s="118"/>
      <c r="G133" s="118"/>
      <c r="H133" s="118"/>
      <c r="AH133"/>
      <c r="AI133"/>
      <c r="AJ133"/>
      <c r="AK133"/>
      <c r="AL133"/>
    </row>
    <row r="134" spans="1:38" x14ac:dyDescent="0.2">
      <c r="A134" s="129"/>
      <c r="B134" s="129"/>
      <c r="C134" s="129"/>
      <c r="D134" s="129"/>
      <c r="E134" s="129"/>
      <c r="F134" s="129"/>
      <c r="G134" s="129"/>
      <c r="H134" s="129"/>
      <c r="AH134"/>
      <c r="AI134"/>
      <c r="AJ134"/>
      <c r="AK134"/>
      <c r="AL134"/>
    </row>
    <row r="135" spans="1:38" x14ac:dyDescent="0.2">
      <c r="A135" s="120" t="s">
        <v>219</v>
      </c>
      <c r="B135" s="120"/>
      <c r="C135" s="120"/>
      <c r="D135" s="120"/>
      <c r="E135" s="120"/>
      <c r="F135" s="120"/>
      <c r="G135" s="120"/>
      <c r="H135" s="120"/>
    </row>
    <row r="136" spans="1:38" x14ac:dyDescent="0.2">
      <c r="A136" s="109" t="s">
        <v>220</v>
      </c>
      <c r="B136" s="109"/>
      <c r="C136" s="109"/>
      <c r="D136" s="109"/>
      <c r="E136" s="109"/>
      <c r="F136" s="109"/>
      <c r="G136" s="109"/>
      <c r="H136" s="109"/>
    </row>
    <row r="137" spans="1:38" x14ac:dyDescent="0.2">
      <c r="A137" s="130" t="s">
        <v>221</v>
      </c>
      <c r="B137" s="130"/>
      <c r="C137" s="130"/>
      <c r="D137" s="130" t="s">
        <v>222</v>
      </c>
      <c r="E137" s="130"/>
      <c r="F137" s="130" t="s">
        <v>223</v>
      </c>
      <c r="G137" s="130"/>
      <c r="H137" s="52" t="s">
        <v>224</v>
      </c>
    </row>
    <row r="138" spans="1:38" x14ac:dyDescent="0.2">
      <c r="A138" s="131">
        <v>0</v>
      </c>
      <c r="B138" s="131"/>
      <c r="C138" s="131"/>
      <c r="D138" s="132">
        <v>0</v>
      </c>
      <c r="E138" s="132"/>
      <c r="F138" s="117">
        <v>22</v>
      </c>
      <c r="G138" s="117"/>
      <c r="H138" s="64">
        <f>ROUND(A138*D138*F138,2)</f>
        <v>0</v>
      </c>
    </row>
    <row r="139" spans="1:38" x14ac:dyDescent="0.2">
      <c r="A139" s="132"/>
      <c r="B139" s="132"/>
      <c r="C139" s="132"/>
      <c r="D139" s="132"/>
      <c r="E139" s="132"/>
      <c r="F139" s="132"/>
      <c r="G139" s="132"/>
      <c r="H139" s="132"/>
    </row>
    <row r="140" spans="1:38" x14ac:dyDescent="0.2">
      <c r="A140" s="109" t="s">
        <v>225</v>
      </c>
      <c r="B140" s="109"/>
      <c r="C140" s="109"/>
      <c r="D140" s="109"/>
      <c r="E140" s="109"/>
      <c r="F140" s="109"/>
      <c r="G140" s="109"/>
      <c r="H140" s="109"/>
    </row>
    <row r="141" spans="1:38" x14ac:dyDescent="0.2">
      <c r="A141" s="130" t="s">
        <v>226</v>
      </c>
      <c r="B141" s="130"/>
      <c r="C141" s="130"/>
      <c r="D141" s="130" t="s">
        <v>227</v>
      </c>
      <c r="E141" s="130"/>
      <c r="F141" s="130" t="s">
        <v>228</v>
      </c>
      <c r="G141" s="130"/>
      <c r="H141" s="52" t="s">
        <v>229</v>
      </c>
    </row>
    <row r="142" spans="1:38" x14ac:dyDescent="0.2">
      <c r="A142" s="131">
        <f>H25</f>
        <v>1764.4</v>
      </c>
      <c r="B142" s="131"/>
      <c r="C142" s="131"/>
      <c r="D142" s="133">
        <v>1</v>
      </c>
      <c r="E142" s="133"/>
      <c r="F142" s="133">
        <v>0</v>
      </c>
      <c r="G142" s="133"/>
      <c r="H142" s="64">
        <f>ROUND(A142*D142*F142,2)</f>
        <v>0</v>
      </c>
    </row>
    <row r="143" spans="1:38" x14ac:dyDescent="0.2">
      <c r="A143" s="132"/>
      <c r="B143" s="132"/>
      <c r="C143" s="132"/>
      <c r="D143" s="132"/>
      <c r="E143" s="132"/>
      <c r="F143" s="132"/>
      <c r="G143" s="132"/>
      <c r="H143" s="132"/>
    </row>
    <row r="144" spans="1:38" x14ac:dyDescent="0.2">
      <c r="A144" s="109" t="s">
        <v>230</v>
      </c>
      <c r="B144" s="109"/>
      <c r="C144" s="109"/>
      <c r="D144" s="109"/>
      <c r="E144" s="109"/>
      <c r="F144" s="109"/>
      <c r="G144" s="109"/>
      <c r="H144" s="58">
        <f>IF(H138-H142&lt;0,"0,00",H138-H142)</f>
        <v>0</v>
      </c>
    </row>
    <row r="145" spans="1:38" x14ac:dyDescent="0.2">
      <c r="A145" s="118"/>
      <c r="B145" s="118"/>
      <c r="C145" s="118"/>
      <c r="D145" s="118"/>
      <c r="E145" s="118"/>
      <c r="F145" s="118"/>
      <c r="G145" s="118"/>
      <c r="H145" s="118"/>
    </row>
    <row r="146" spans="1:38" x14ac:dyDescent="0.2">
      <c r="A146" s="120" t="s">
        <v>231</v>
      </c>
      <c r="B146" s="120"/>
      <c r="C146" s="120"/>
      <c r="D146" s="120"/>
      <c r="E146" s="120"/>
      <c r="F146" s="120"/>
      <c r="G146" s="120"/>
      <c r="H146" s="120"/>
    </row>
    <row r="147" spans="1:38" x14ac:dyDescent="0.2">
      <c r="A147" s="109" t="s">
        <v>232</v>
      </c>
      <c r="B147" s="109"/>
      <c r="C147" s="109"/>
      <c r="D147" s="109"/>
      <c r="E147" s="109"/>
      <c r="F147" s="109"/>
      <c r="G147" s="109"/>
      <c r="H147" s="109"/>
    </row>
    <row r="148" spans="1:38" x14ac:dyDescent="0.2">
      <c r="A148" s="130" t="s">
        <v>221</v>
      </c>
      <c r="B148" s="130"/>
      <c r="C148" s="130"/>
      <c r="D148" s="130" t="s">
        <v>223</v>
      </c>
      <c r="E148" s="130"/>
      <c r="F148" s="130"/>
      <c r="G148" s="130" t="s">
        <v>224</v>
      </c>
      <c r="H148" s="130"/>
    </row>
    <row r="149" spans="1:38" x14ac:dyDescent="0.2">
      <c r="A149" s="131">
        <v>23.93</v>
      </c>
      <c r="B149" s="131"/>
      <c r="C149" s="131"/>
      <c r="D149" s="117">
        <v>15</v>
      </c>
      <c r="E149" s="117"/>
      <c r="F149" s="117"/>
      <c r="G149" s="131">
        <f>ROUND(A149*D149,2)</f>
        <v>358.95</v>
      </c>
      <c r="H149" s="131"/>
    </row>
    <row r="150" spans="1:38" x14ac:dyDescent="0.2">
      <c r="A150" s="132"/>
      <c r="B150" s="132"/>
      <c r="C150" s="132"/>
      <c r="D150" s="132"/>
      <c r="E150" s="132"/>
      <c r="F150" s="132"/>
      <c r="G150" s="132"/>
      <c r="H150" s="132"/>
    </row>
    <row r="151" spans="1:38" x14ac:dyDescent="0.2">
      <c r="A151" s="109" t="s">
        <v>233</v>
      </c>
      <c r="B151" s="109"/>
      <c r="C151" s="109"/>
      <c r="D151" s="109"/>
      <c r="E151" s="109"/>
      <c r="F151" s="109"/>
      <c r="G151" s="109"/>
      <c r="H151" s="109"/>
    </row>
    <row r="152" spans="1:38" x14ac:dyDescent="0.2">
      <c r="A152" s="130" t="s">
        <v>226</v>
      </c>
      <c r="B152" s="130"/>
      <c r="C152" s="130"/>
      <c r="D152" s="130" t="s">
        <v>228</v>
      </c>
      <c r="E152" s="130"/>
      <c r="F152" s="130"/>
      <c r="G152" s="130" t="s">
        <v>229</v>
      </c>
      <c r="H152" s="130"/>
    </row>
    <row r="153" spans="1:38" x14ac:dyDescent="0.2">
      <c r="A153" s="131">
        <f>G149</f>
        <v>358.95</v>
      </c>
      <c r="B153" s="131"/>
      <c r="C153" s="131"/>
      <c r="D153" s="133">
        <v>0.2</v>
      </c>
      <c r="E153" s="133"/>
      <c r="F153" s="133"/>
      <c r="G153" s="131">
        <f>ROUND(A153*D153,2)</f>
        <v>71.790000000000006</v>
      </c>
      <c r="H153" s="131"/>
    </row>
    <row r="154" spans="1:38" x14ac:dyDescent="0.2">
      <c r="A154" s="132"/>
      <c r="B154" s="132"/>
      <c r="C154" s="132"/>
      <c r="D154" s="132"/>
      <c r="E154" s="132"/>
      <c r="F154" s="132"/>
      <c r="G154" s="132"/>
      <c r="H154" s="132"/>
    </row>
    <row r="155" spans="1:38" x14ac:dyDescent="0.2">
      <c r="A155" s="109" t="s">
        <v>234</v>
      </c>
      <c r="B155" s="109"/>
      <c r="C155" s="109"/>
      <c r="D155" s="109"/>
      <c r="E155" s="109"/>
      <c r="F155" s="109"/>
      <c r="G155" s="109"/>
      <c r="H155" s="58">
        <f>ROUND(G149-G153,2)</f>
        <v>287.16000000000003</v>
      </c>
    </row>
    <row r="156" spans="1:38" x14ac:dyDescent="0.2">
      <c r="A156" s="118"/>
      <c r="B156" s="118"/>
      <c r="C156" s="118"/>
      <c r="D156" s="118"/>
      <c r="E156" s="118"/>
      <c r="F156" s="118"/>
      <c r="G156" s="118"/>
      <c r="H156" s="118"/>
    </row>
    <row r="157" spans="1:38" x14ac:dyDescent="0.2">
      <c r="A157" s="120" t="s">
        <v>235</v>
      </c>
      <c r="B157" s="120"/>
      <c r="C157" s="120"/>
      <c r="D157" s="120"/>
      <c r="E157" s="120"/>
      <c r="F157" s="120"/>
      <c r="G157" s="120"/>
      <c r="H157" s="120"/>
      <c r="AE157"/>
      <c r="AF157"/>
      <c r="AG157"/>
      <c r="AH157"/>
      <c r="AI157"/>
      <c r="AJ157"/>
      <c r="AK157"/>
      <c r="AL157"/>
    </row>
    <row r="158" spans="1:38" ht="25.5" x14ac:dyDescent="0.2">
      <c r="A158" s="50" t="s">
        <v>18</v>
      </c>
      <c r="B158" s="109" t="s">
        <v>33</v>
      </c>
      <c r="C158" s="109"/>
      <c r="D158" s="109"/>
      <c r="E158" s="50" t="s">
        <v>236</v>
      </c>
      <c r="F158" s="50" t="s">
        <v>221</v>
      </c>
      <c r="G158" s="72" t="s">
        <v>237</v>
      </c>
      <c r="H158" s="50" t="s">
        <v>238</v>
      </c>
      <c r="AE158"/>
      <c r="AF158"/>
      <c r="AG158"/>
      <c r="AH158"/>
      <c r="AI158"/>
      <c r="AJ158"/>
      <c r="AK158"/>
      <c r="AL158"/>
    </row>
    <row r="159" spans="1:38" x14ac:dyDescent="0.2">
      <c r="A159" s="59">
        <v>1</v>
      </c>
      <c r="B159" s="134" t="str">
        <f>VLOOKUP(A159,Insumos!$A$3:$E$28,3, )</f>
        <v>Apito com cordão</v>
      </c>
      <c r="C159" s="134"/>
      <c r="D159" s="134"/>
      <c r="E159" s="59">
        <v>1</v>
      </c>
      <c r="F159" s="49">
        <f>VLOOKUP(A159,Insumos!$A$3:$E$28,5, )</f>
        <v>25.96</v>
      </c>
      <c r="G159" s="59">
        <v>12</v>
      </c>
      <c r="H159" s="49">
        <f t="shared" ref="H159:H168" si="1">ROUND(E159*F159/G159,2)</f>
        <v>2.16</v>
      </c>
      <c r="AE159"/>
      <c r="AF159"/>
      <c r="AG159"/>
      <c r="AH159"/>
      <c r="AI159"/>
      <c r="AJ159"/>
      <c r="AK159"/>
      <c r="AL159"/>
    </row>
    <row r="160" spans="1:38" x14ac:dyDescent="0.2">
      <c r="A160" s="59">
        <v>2</v>
      </c>
      <c r="B160" s="134" t="str">
        <f>VLOOKUP(A160,Insumos!$A$3:$E$28,3, )</f>
        <v>Calça</v>
      </c>
      <c r="C160" s="134"/>
      <c r="D160" s="134"/>
      <c r="E160" s="59">
        <v>2</v>
      </c>
      <c r="F160" s="49">
        <f>VLOOKUP(A160,Insumos!$A$3:$E$28,5, )</f>
        <v>119.83</v>
      </c>
      <c r="G160" s="59">
        <v>12</v>
      </c>
      <c r="H160" s="49">
        <f t="shared" si="1"/>
        <v>19.97</v>
      </c>
      <c r="AE160"/>
      <c r="AF160"/>
      <c r="AG160"/>
      <c r="AH160"/>
      <c r="AI160"/>
      <c r="AJ160"/>
      <c r="AK160"/>
      <c r="AL160"/>
    </row>
    <row r="161" spans="1:38" x14ac:dyDescent="0.2">
      <c r="A161" s="59">
        <v>3</v>
      </c>
      <c r="B161" s="134" t="str">
        <f>VLOOKUP(A161,Insumos!$A$3:$E$28,3, )</f>
        <v>Camisa de mangas curtas</v>
      </c>
      <c r="C161" s="134"/>
      <c r="D161" s="134"/>
      <c r="E161" s="59">
        <v>3</v>
      </c>
      <c r="F161" s="49">
        <f>VLOOKUP(A161,Insumos!$A$3:$E$28,5, )</f>
        <v>93</v>
      </c>
      <c r="G161" s="59">
        <v>12</v>
      </c>
      <c r="H161" s="49">
        <f t="shared" si="1"/>
        <v>23.25</v>
      </c>
      <c r="AE161"/>
      <c r="AF161"/>
      <c r="AG161"/>
      <c r="AH161"/>
      <c r="AI161"/>
      <c r="AJ161"/>
      <c r="AK161"/>
      <c r="AL161"/>
    </row>
    <row r="162" spans="1:38" x14ac:dyDescent="0.2">
      <c r="A162" s="59">
        <v>4</v>
      </c>
      <c r="B162" s="134" t="str">
        <f>VLOOKUP(A162,Insumos!$A$3:$E$28,3, )</f>
        <v>Camisa de mangas longas</v>
      </c>
      <c r="C162" s="134"/>
      <c r="D162" s="134"/>
      <c r="E162" s="59">
        <v>2</v>
      </c>
      <c r="F162" s="49">
        <f>VLOOKUP(A162,Insumos!$A$3:$E$28,5, )</f>
        <v>102.25</v>
      </c>
      <c r="G162" s="59">
        <v>12</v>
      </c>
      <c r="H162" s="49">
        <f t="shared" si="1"/>
        <v>17.04</v>
      </c>
      <c r="AE162"/>
      <c r="AF162"/>
      <c r="AG162"/>
      <c r="AH162"/>
      <c r="AI162"/>
      <c r="AJ162"/>
      <c r="AK162"/>
      <c r="AL162"/>
    </row>
    <row r="163" spans="1:38" x14ac:dyDescent="0.2">
      <c r="A163" s="59">
        <v>6</v>
      </c>
      <c r="B163" s="134" t="str">
        <f>VLOOKUP(A163,Insumos!$A$3:$E$28,3, )</f>
        <v>Capa para Colete Balístico</v>
      </c>
      <c r="C163" s="134"/>
      <c r="D163" s="134"/>
      <c r="E163" s="59">
        <v>0</v>
      </c>
      <c r="F163" s="49">
        <f>VLOOKUP(A163,Insumos!$A$3:$E$28,5, )</f>
        <v>285.75</v>
      </c>
      <c r="G163" s="59">
        <v>12</v>
      </c>
      <c r="H163" s="49">
        <f t="shared" si="1"/>
        <v>0</v>
      </c>
      <c r="AE163"/>
      <c r="AF163"/>
      <c r="AG163"/>
      <c r="AH163"/>
      <c r="AI163"/>
      <c r="AJ163"/>
      <c r="AK163"/>
      <c r="AL163"/>
    </row>
    <row r="164" spans="1:38" x14ac:dyDescent="0.2">
      <c r="A164" s="59">
        <v>8</v>
      </c>
      <c r="B164" s="134" t="str">
        <f>VLOOKUP(A164,Insumos!$A$3:$E$28,3, )</f>
        <v>Cinto de Nylon</v>
      </c>
      <c r="C164" s="134"/>
      <c r="D164" s="134"/>
      <c r="E164" s="59">
        <v>1</v>
      </c>
      <c r="F164" s="49">
        <f>VLOOKUP(A164,Insumos!$A$3:$E$28,5, )</f>
        <v>26.07</v>
      </c>
      <c r="G164" s="59">
        <v>12</v>
      </c>
      <c r="H164" s="49">
        <f t="shared" si="1"/>
        <v>2.17</v>
      </c>
      <c r="AE164"/>
      <c r="AF164"/>
      <c r="AG164"/>
      <c r="AH164"/>
      <c r="AI164"/>
      <c r="AJ164"/>
      <c r="AK164"/>
      <c r="AL164"/>
    </row>
    <row r="165" spans="1:38" x14ac:dyDescent="0.2">
      <c r="A165" s="59">
        <v>12</v>
      </c>
      <c r="B165" s="134" t="str">
        <f>VLOOKUP(A165,Insumos!$A$3:$E$28,3, )</f>
        <v>Crachá de identificação</v>
      </c>
      <c r="C165" s="134"/>
      <c r="D165" s="134"/>
      <c r="E165" s="59">
        <v>1</v>
      </c>
      <c r="F165" s="49">
        <f>VLOOKUP(A165,Insumos!$A$3:$E$28,5, )</f>
        <v>6.52</v>
      </c>
      <c r="G165" s="59">
        <v>12</v>
      </c>
      <c r="H165" s="49">
        <f t="shared" si="1"/>
        <v>0.54</v>
      </c>
      <c r="AE165"/>
      <c r="AF165"/>
      <c r="AG165"/>
      <c r="AH165"/>
      <c r="AI165"/>
      <c r="AJ165"/>
      <c r="AK165"/>
      <c r="AL165"/>
    </row>
    <row r="166" spans="1:38" x14ac:dyDescent="0.2">
      <c r="A166" s="59">
        <v>15</v>
      </c>
      <c r="B166" s="134" t="str">
        <f>VLOOKUP(A166,Insumos!$A$3:$E$28,3, )</f>
        <v>Jaqueta de frio/Japona</v>
      </c>
      <c r="C166" s="134"/>
      <c r="D166" s="134"/>
      <c r="E166" s="59">
        <v>1</v>
      </c>
      <c r="F166" s="49">
        <f>VLOOKUP(A166,Insumos!$A$3:$E$28,5, )</f>
        <v>173.03</v>
      </c>
      <c r="G166" s="59">
        <v>12</v>
      </c>
      <c r="H166" s="49">
        <f t="shared" si="1"/>
        <v>14.42</v>
      </c>
      <c r="AE166"/>
      <c r="AF166"/>
      <c r="AG166"/>
      <c r="AH166"/>
      <c r="AI166"/>
      <c r="AJ166"/>
      <c r="AK166"/>
      <c r="AL166"/>
    </row>
    <row r="167" spans="1:38" x14ac:dyDescent="0.2">
      <c r="A167" s="59">
        <v>21</v>
      </c>
      <c r="B167" s="134" t="str">
        <f>VLOOKUP(A167,Insumos!$A$3:$E$28,3, )</f>
        <v>Quepe/Boné com emblema</v>
      </c>
      <c r="C167" s="134"/>
      <c r="D167" s="134"/>
      <c r="E167" s="59">
        <v>1</v>
      </c>
      <c r="F167" s="49">
        <f>VLOOKUP(A167,Insumos!$A$3:$E$28,5, )</f>
        <v>47.3</v>
      </c>
      <c r="G167" s="59">
        <v>12</v>
      </c>
      <c r="H167" s="49">
        <f t="shared" si="1"/>
        <v>3.94</v>
      </c>
      <c r="AE167"/>
      <c r="AF167"/>
      <c r="AG167"/>
      <c r="AH167"/>
      <c r="AI167"/>
      <c r="AJ167"/>
      <c r="AK167"/>
      <c r="AL167"/>
    </row>
    <row r="168" spans="1:38" x14ac:dyDescent="0.2">
      <c r="A168" s="59">
        <v>24</v>
      </c>
      <c r="B168" s="134" t="str">
        <f>VLOOKUP(A168,Insumos!$A$3:$E$28,3, )</f>
        <v>Sapatos/coturno</v>
      </c>
      <c r="C168" s="134"/>
      <c r="D168" s="134"/>
      <c r="E168" s="59">
        <v>2</v>
      </c>
      <c r="F168" s="49">
        <f>VLOOKUP(A168,Insumos!$A$3:$E$28,5, )</f>
        <v>129.58000000000001</v>
      </c>
      <c r="G168" s="59">
        <v>12</v>
      </c>
      <c r="H168" s="49">
        <f t="shared" si="1"/>
        <v>21.6</v>
      </c>
      <c r="AE168"/>
      <c r="AF168"/>
      <c r="AG168"/>
      <c r="AH168"/>
      <c r="AI168"/>
      <c r="AJ168"/>
      <c r="AK168"/>
      <c r="AL168"/>
    </row>
    <row r="169" spans="1:38" x14ac:dyDescent="0.2">
      <c r="A169" s="135" t="s">
        <v>239</v>
      </c>
      <c r="B169" s="135"/>
      <c r="C169" s="135"/>
      <c r="D169" s="135"/>
      <c r="E169" s="135"/>
      <c r="F169" s="135"/>
      <c r="G169" s="135"/>
      <c r="H169" s="58">
        <f>SUM(H159:H168)</f>
        <v>105.09</v>
      </c>
      <c r="I169" s="1"/>
      <c r="AE169"/>
      <c r="AF169"/>
      <c r="AG169"/>
      <c r="AH169"/>
      <c r="AI169"/>
      <c r="AJ169"/>
      <c r="AK169"/>
      <c r="AL169"/>
    </row>
    <row r="170" spans="1:38" hidden="1" x14ac:dyDescent="0.2">
      <c r="I170" s="1"/>
    </row>
    <row r="171" spans="1:38" hidden="1" x14ac:dyDescent="0.2">
      <c r="I171" s="1"/>
    </row>
    <row r="172" spans="1:38" hidden="1" x14ac:dyDescent="0.2">
      <c r="I172" s="1"/>
    </row>
    <row r="173" spans="1:38" hidden="1" x14ac:dyDescent="0.2"/>
    <row r="174" spans="1:38" hidden="1" x14ac:dyDescent="0.2"/>
  </sheetData>
  <mergeCells count="198">
    <mergeCell ref="B164:D164"/>
    <mergeCell ref="B165:D165"/>
    <mergeCell ref="B166:D166"/>
    <mergeCell ref="B167:D167"/>
    <mergeCell ref="B168:D168"/>
    <mergeCell ref="A169:G169"/>
    <mergeCell ref="A155:G155"/>
    <mergeCell ref="A156:H156"/>
    <mergeCell ref="A157:H157"/>
    <mergeCell ref="B158:D158"/>
    <mergeCell ref="B159:D159"/>
    <mergeCell ref="B160:D160"/>
    <mergeCell ref="B161:D161"/>
    <mergeCell ref="B162:D162"/>
    <mergeCell ref="B163:D163"/>
    <mergeCell ref="A150:H150"/>
    <mergeCell ref="A151:H151"/>
    <mergeCell ref="A152:C152"/>
    <mergeCell ref="D152:F152"/>
    <mergeCell ref="G152:H152"/>
    <mergeCell ref="A153:C153"/>
    <mergeCell ref="D153:F153"/>
    <mergeCell ref="G153:H153"/>
    <mergeCell ref="A154:H154"/>
    <mergeCell ref="A143:H143"/>
    <mergeCell ref="A144:G144"/>
    <mergeCell ref="A145:H145"/>
    <mergeCell ref="A146:H146"/>
    <mergeCell ref="A147:H147"/>
    <mergeCell ref="A148:C148"/>
    <mergeCell ref="D148:F148"/>
    <mergeCell ref="G148:H148"/>
    <mergeCell ref="A149:C149"/>
    <mergeCell ref="D149:F149"/>
    <mergeCell ref="G149:H149"/>
    <mergeCell ref="A138:C138"/>
    <mergeCell ref="D138:E138"/>
    <mergeCell ref="F138:G138"/>
    <mergeCell ref="A139:H139"/>
    <mergeCell ref="A140:H140"/>
    <mergeCell ref="A141:C141"/>
    <mergeCell ref="D141:E141"/>
    <mergeCell ref="F141:G141"/>
    <mergeCell ref="A142:C142"/>
    <mergeCell ref="D142:E142"/>
    <mergeCell ref="F142:G142"/>
    <mergeCell ref="A130:G130"/>
    <mergeCell ref="A131:G131"/>
    <mergeCell ref="A132:G132"/>
    <mergeCell ref="A133:H133"/>
    <mergeCell ref="A134:H134"/>
    <mergeCell ref="A135:H135"/>
    <mergeCell ref="A136:H136"/>
    <mergeCell ref="A137:C137"/>
    <mergeCell ref="D137:E137"/>
    <mergeCell ref="F137:G137"/>
    <mergeCell ref="B121:G121"/>
    <mergeCell ref="A122:G122"/>
    <mergeCell ref="A123:H123"/>
    <mergeCell ref="A124:H124"/>
    <mergeCell ref="A125:G125"/>
    <mergeCell ref="A126:G126"/>
    <mergeCell ref="A127:G127"/>
    <mergeCell ref="A128:G128"/>
    <mergeCell ref="A129:G129"/>
    <mergeCell ref="B112:E112"/>
    <mergeCell ref="A113:G113"/>
    <mergeCell ref="A114:H114"/>
    <mergeCell ref="A115:G115"/>
    <mergeCell ref="B116:G116"/>
    <mergeCell ref="B117:G117"/>
    <mergeCell ref="B118:G118"/>
    <mergeCell ref="B119:G119"/>
    <mergeCell ref="B120:G120"/>
    <mergeCell ref="B103:G103"/>
    <mergeCell ref="A104:G104"/>
    <mergeCell ref="A105:H105"/>
    <mergeCell ref="A106:H106"/>
    <mergeCell ref="A107:E107"/>
    <mergeCell ref="B108:E108"/>
    <mergeCell ref="B109:E109"/>
    <mergeCell ref="B110:H110"/>
    <mergeCell ref="B111:E111"/>
    <mergeCell ref="A94:G94"/>
    <mergeCell ref="B95:F95"/>
    <mergeCell ref="A96:G96"/>
    <mergeCell ref="A97:H97"/>
    <mergeCell ref="A98:H98"/>
    <mergeCell ref="A99:G99"/>
    <mergeCell ref="B100:G100"/>
    <mergeCell ref="B101:G101"/>
    <mergeCell ref="B102:G102"/>
    <mergeCell ref="A85:H85"/>
    <mergeCell ref="A86:G86"/>
    <mergeCell ref="B87:F87"/>
    <mergeCell ref="B88:F88"/>
    <mergeCell ref="B89:F89"/>
    <mergeCell ref="B90:F90"/>
    <mergeCell ref="B91:F91"/>
    <mergeCell ref="B92:F92"/>
    <mergeCell ref="B93:F93"/>
    <mergeCell ref="A76:G76"/>
    <mergeCell ref="A77:G77"/>
    <mergeCell ref="B78:E78"/>
    <mergeCell ref="B79:E79"/>
    <mergeCell ref="B80:F80"/>
    <mergeCell ref="B81:F81"/>
    <mergeCell ref="A82:F82"/>
    <mergeCell ref="A83:G83"/>
    <mergeCell ref="A84:H84"/>
    <mergeCell ref="A67:H67"/>
    <mergeCell ref="A68:H68"/>
    <mergeCell ref="A69:G69"/>
    <mergeCell ref="B70:E70"/>
    <mergeCell ref="B71:E71"/>
    <mergeCell ref="B72:F72"/>
    <mergeCell ref="B73:F73"/>
    <mergeCell ref="A74:F74"/>
    <mergeCell ref="A75:H75"/>
    <mergeCell ref="B58:G58"/>
    <mergeCell ref="B59:G59"/>
    <mergeCell ref="A60:G60"/>
    <mergeCell ref="A61:H61"/>
    <mergeCell ref="A62:H62"/>
    <mergeCell ref="B63:G63"/>
    <mergeCell ref="B64:G64"/>
    <mergeCell ref="B65:G65"/>
    <mergeCell ref="A66:G66"/>
    <mergeCell ref="B49:F49"/>
    <mergeCell ref="B50:F50"/>
    <mergeCell ref="B51:F51"/>
    <mergeCell ref="B52:F52"/>
    <mergeCell ref="B53:F53"/>
    <mergeCell ref="A54:F54"/>
    <mergeCell ref="A55:H55"/>
    <mergeCell ref="B56:G56"/>
    <mergeCell ref="B57:G57"/>
    <mergeCell ref="B39:F39"/>
    <mergeCell ref="B40:F40"/>
    <mergeCell ref="B41:F41"/>
    <mergeCell ref="A42:G42"/>
    <mergeCell ref="A43:H43"/>
    <mergeCell ref="A44:G44"/>
    <mergeCell ref="B45:F45"/>
    <mergeCell ref="B46:F46"/>
    <mergeCell ref="B47:F47"/>
    <mergeCell ref="A29:G29"/>
    <mergeCell ref="A30:H30"/>
    <mergeCell ref="B31:G31"/>
    <mergeCell ref="B33:G33"/>
    <mergeCell ref="A34:G34"/>
    <mergeCell ref="A35:H35"/>
    <mergeCell ref="A36:G36"/>
    <mergeCell ref="A37:H37"/>
    <mergeCell ref="A38:H38"/>
    <mergeCell ref="B21:F21"/>
    <mergeCell ref="G21:H21"/>
    <mergeCell ref="A22:H22"/>
    <mergeCell ref="A23:H23"/>
    <mergeCell ref="B24:F24"/>
    <mergeCell ref="B25:F25"/>
    <mergeCell ref="B26:F26"/>
    <mergeCell ref="B27:F27"/>
    <mergeCell ref="B28:F28"/>
    <mergeCell ref="B16:F16"/>
    <mergeCell ref="G16:H16"/>
    <mergeCell ref="B17:F17"/>
    <mergeCell ref="G17:H17"/>
    <mergeCell ref="B18:F18"/>
    <mergeCell ref="G18:H18"/>
    <mergeCell ref="B19:F19"/>
    <mergeCell ref="G19:H19"/>
    <mergeCell ref="B20:F20"/>
    <mergeCell ref="G20:H20"/>
    <mergeCell ref="B32:G32"/>
    <mergeCell ref="A1:H1"/>
    <mergeCell ref="A2:H2"/>
    <mergeCell ref="A3:H3"/>
    <mergeCell ref="A4:H4"/>
    <mergeCell ref="A5:H5"/>
    <mergeCell ref="A6:B6"/>
    <mergeCell ref="C6:H6"/>
    <mergeCell ref="A7:B7"/>
    <mergeCell ref="C7:H7"/>
    <mergeCell ref="A8:H8"/>
    <mergeCell ref="A9:H9"/>
    <mergeCell ref="B10:D10"/>
    <mergeCell ref="E10:H10"/>
    <mergeCell ref="B11:F11"/>
    <mergeCell ref="G11:H11"/>
    <mergeCell ref="B12:F12"/>
    <mergeCell ref="G12:H12"/>
    <mergeCell ref="B13:F13"/>
    <mergeCell ref="G13:H13"/>
    <mergeCell ref="B14:F14"/>
    <mergeCell ref="G14:H14"/>
    <mergeCell ref="B15:F15"/>
    <mergeCell ref="G15:H15"/>
  </mergeCells>
  <printOptions horizontalCentered="1"/>
  <pageMargins left="0.39374999999999999" right="0.39374999999999999" top="0.39374999999999999" bottom="0.39374999999999999" header="0.51180555555555496" footer="0.51180555555555496"/>
  <pageSetup paperSize="9" scale="77" fitToHeight="0" orientation="portrait" horizontalDpi="300" verticalDpi="300" r:id="rId1"/>
  <rowBreaks count="2" manualBreakCount="2">
    <brk id="67" max="16383" man="1"/>
    <brk id="13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7BC65"/>
    <pageSetUpPr fitToPage="1"/>
  </sheetPr>
  <dimension ref="A1:AP175"/>
  <sheetViews>
    <sheetView zoomScaleNormal="100" workbookViewId="0">
      <selection sqref="A1:H1"/>
    </sheetView>
  </sheetViews>
  <sheetFormatPr defaultColWidth="0" defaultRowHeight="12.75" zeroHeight="1" x14ac:dyDescent="0.2"/>
  <cols>
    <col min="1" max="1" width="5.5703125" style="20" customWidth="1"/>
    <col min="2" max="2" width="17.42578125" style="20" customWidth="1"/>
    <col min="3" max="3" width="19.5703125" style="20" customWidth="1"/>
    <col min="4" max="4" width="19.85546875" style="20" customWidth="1"/>
    <col min="5" max="5" width="16.42578125" style="20" customWidth="1"/>
    <col min="6" max="6" width="13.85546875" style="20" customWidth="1"/>
    <col min="7" max="7" width="14.7109375" style="21" customWidth="1"/>
    <col min="8" max="8" width="18.85546875" style="22" customWidth="1"/>
    <col min="9" max="9" width="51" style="23" customWidth="1"/>
    <col min="10" max="42" width="11.5703125" style="3" hidden="1" customWidth="1"/>
    <col min="43" max="1024" width="11.5703125" hidden="1" customWidth="1"/>
    <col min="1025" max="16384" width="11.5703125" hidden="1"/>
  </cols>
  <sheetData>
    <row r="1" spans="1:42" ht="15.75" x14ac:dyDescent="0.2">
      <c r="A1" s="107" t="s">
        <v>1</v>
      </c>
      <c r="B1" s="107"/>
      <c r="C1" s="107"/>
      <c r="D1" s="107"/>
      <c r="E1" s="107"/>
      <c r="F1" s="107"/>
      <c r="G1" s="107"/>
      <c r="H1" s="107"/>
      <c r="I1" s="2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</row>
    <row r="2" spans="1:42" ht="15.75" x14ac:dyDescent="0.2">
      <c r="A2" s="107" t="s">
        <v>2</v>
      </c>
      <c r="B2" s="107"/>
      <c r="C2" s="107"/>
      <c r="D2" s="107"/>
      <c r="E2" s="107"/>
      <c r="F2" s="107"/>
      <c r="G2" s="107"/>
      <c r="H2" s="107"/>
      <c r="I2" s="2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ht="15.75" x14ac:dyDescent="0.2">
      <c r="A3" s="107" t="s">
        <v>3</v>
      </c>
      <c r="B3" s="107"/>
      <c r="C3" s="107"/>
      <c r="D3" s="107"/>
      <c r="E3" s="107"/>
      <c r="F3" s="107"/>
      <c r="G3" s="107"/>
      <c r="H3" s="107"/>
      <c r="I3" s="2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ht="15.75" x14ac:dyDescent="0.2">
      <c r="A4" s="108"/>
      <c r="B4" s="108"/>
      <c r="C4" s="108"/>
      <c r="D4" s="108"/>
      <c r="E4" s="108"/>
      <c r="F4" s="108"/>
      <c r="G4" s="108"/>
      <c r="H4" s="108"/>
      <c r="I4" s="24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1:42" ht="15.75" x14ac:dyDescent="0.2">
      <c r="A5" s="107" t="s">
        <v>77</v>
      </c>
      <c r="B5" s="107"/>
      <c r="C5" s="107"/>
      <c r="D5" s="107"/>
      <c r="E5" s="107"/>
      <c r="F5" s="107"/>
      <c r="G5" s="107"/>
      <c r="H5" s="107"/>
      <c r="I5" s="24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1:42" x14ac:dyDescent="0.2">
      <c r="A6" s="109" t="s">
        <v>78</v>
      </c>
      <c r="B6" s="109"/>
      <c r="C6" s="95" t="str">
        <f>'2'!C6</f>
        <v>23205.003378/2023-69</v>
      </c>
      <c r="D6" s="95"/>
      <c r="E6" s="95"/>
      <c r="F6" s="95"/>
      <c r="G6" s="95"/>
      <c r="H6" s="95"/>
    </row>
    <row r="7" spans="1:42" x14ac:dyDescent="0.2">
      <c r="A7" s="109" t="s">
        <v>79</v>
      </c>
      <c r="B7" s="109"/>
      <c r="C7" s="95" t="str">
        <f>'2'!C7</f>
        <v>Pregão Eletrônico nº 03/2023</v>
      </c>
      <c r="D7" s="95"/>
      <c r="E7" s="95"/>
      <c r="F7" s="95"/>
      <c r="G7" s="95"/>
      <c r="H7" s="95"/>
    </row>
    <row r="8" spans="1:42" x14ac:dyDescent="0.2">
      <c r="A8" s="110"/>
      <c r="B8" s="110"/>
      <c r="C8" s="110"/>
      <c r="D8" s="110"/>
      <c r="E8" s="110"/>
      <c r="F8" s="110"/>
      <c r="G8" s="110"/>
      <c r="H8" s="110"/>
    </row>
    <row r="9" spans="1:42" x14ac:dyDescent="0.2">
      <c r="A9" s="111" t="s">
        <v>80</v>
      </c>
      <c r="B9" s="111"/>
      <c r="C9" s="111"/>
      <c r="D9" s="111"/>
      <c r="E9" s="111"/>
      <c r="F9" s="111"/>
      <c r="G9" s="111"/>
      <c r="H9" s="111"/>
    </row>
    <row r="10" spans="1:42" x14ac:dyDescent="0.2">
      <c r="A10" s="25" t="s">
        <v>81</v>
      </c>
      <c r="B10" s="112" t="s">
        <v>82</v>
      </c>
      <c r="C10" s="112"/>
      <c r="D10" s="112"/>
      <c r="E10" s="95" t="s">
        <v>250</v>
      </c>
      <c r="F10" s="95"/>
      <c r="G10" s="95"/>
      <c r="H10" s="95"/>
    </row>
    <row r="11" spans="1:42" x14ac:dyDescent="0.2">
      <c r="A11" s="25" t="s">
        <v>84</v>
      </c>
      <c r="B11" s="112" t="s">
        <v>85</v>
      </c>
      <c r="C11" s="112"/>
      <c r="D11" s="112"/>
      <c r="E11" s="112"/>
      <c r="F11" s="112"/>
      <c r="G11" s="113">
        <f>Proposta!C7</f>
        <v>44967</v>
      </c>
      <c r="H11" s="113"/>
    </row>
    <row r="12" spans="1:42" x14ac:dyDescent="0.2">
      <c r="A12" s="25" t="s">
        <v>86</v>
      </c>
      <c r="B12" s="112" t="s">
        <v>87</v>
      </c>
      <c r="C12" s="112"/>
      <c r="D12" s="112"/>
      <c r="E12" s="112"/>
      <c r="F12" s="112"/>
      <c r="G12" s="95" t="s">
        <v>88</v>
      </c>
      <c r="H12" s="95"/>
    </row>
    <row r="13" spans="1:42" x14ac:dyDescent="0.2">
      <c r="A13" s="25" t="s">
        <v>89</v>
      </c>
      <c r="B13" s="112" t="s">
        <v>90</v>
      </c>
      <c r="C13" s="112"/>
      <c r="D13" s="112"/>
      <c r="E13" s="112"/>
      <c r="F13" s="112"/>
      <c r="G13" s="95" t="s">
        <v>91</v>
      </c>
      <c r="H13" s="95"/>
    </row>
    <row r="14" spans="1:42" x14ac:dyDescent="0.2">
      <c r="A14" s="25" t="s">
        <v>92</v>
      </c>
      <c r="B14" s="112" t="s">
        <v>93</v>
      </c>
      <c r="C14" s="112"/>
      <c r="D14" s="112"/>
      <c r="E14" s="112"/>
      <c r="F14" s="112"/>
      <c r="G14" s="95" t="s">
        <v>94</v>
      </c>
      <c r="H14" s="95"/>
    </row>
    <row r="15" spans="1:42" x14ac:dyDescent="0.2">
      <c r="A15" s="25" t="s">
        <v>95</v>
      </c>
      <c r="B15" s="112" t="s">
        <v>96</v>
      </c>
      <c r="C15" s="112"/>
      <c r="D15" s="112"/>
      <c r="E15" s="112"/>
      <c r="F15" s="112"/>
      <c r="G15" s="95" t="s">
        <v>275</v>
      </c>
      <c r="H15" s="95"/>
      <c r="I15" s="77" t="s">
        <v>276</v>
      </c>
    </row>
    <row r="16" spans="1:42" ht="14.65" customHeight="1" x14ac:dyDescent="0.2">
      <c r="A16" s="25" t="s">
        <v>97</v>
      </c>
      <c r="B16" s="114" t="s">
        <v>98</v>
      </c>
      <c r="C16" s="114"/>
      <c r="D16" s="114"/>
      <c r="E16" s="114"/>
      <c r="F16" s="114"/>
      <c r="G16" s="115" t="s">
        <v>99</v>
      </c>
      <c r="H16" s="115"/>
    </row>
    <row r="17" spans="1:42" x14ac:dyDescent="0.2">
      <c r="A17" s="25" t="s">
        <v>100</v>
      </c>
      <c r="B17" s="106" t="s">
        <v>101</v>
      </c>
      <c r="C17" s="106"/>
      <c r="D17" s="106"/>
      <c r="E17" s="106"/>
      <c r="F17" s="106"/>
      <c r="G17" s="116">
        <v>44593</v>
      </c>
      <c r="H17" s="116"/>
    </row>
    <row r="18" spans="1:42" x14ac:dyDescent="0.2">
      <c r="A18" s="25" t="s">
        <v>102</v>
      </c>
      <c r="B18" s="112" t="s">
        <v>103</v>
      </c>
      <c r="C18" s="112"/>
      <c r="D18" s="112"/>
      <c r="E18" s="112"/>
      <c r="F18" s="112"/>
      <c r="G18" s="95">
        <v>12</v>
      </c>
      <c r="H18" s="95">
        <v>30</v>
      </c>
    </row>
    <row r="19" spans="1:42" x14ac:dyDescent="0.2">
      <c r="A19" s="25" t="s">
        <v>104</v>
      </c>
      <c r="B19" s="112" t="s">
        <v>105</v>
      </c>
      <c r="C19" s="112"/>
      <c r="D19" s="112"/>
      <c r="E19" s="112"/>
      <c r="F19" s="112"/>
      <c r="G19" s="95" t="s">
        <v>106</v>
      </c>
      <c r="H19" s="95"/>
      <c r="AL19"/>
      <c r="AM19"/>
      <c r="AN19"/>
      <c r="AO19"/>
      <c r="AP19"/>
    </row>
    <row r="20" spans="1:42" x14ac:dyDescent="0.2">
      <c r="A20" s="25" t="s">
        <v>107</v>
      </c>
      <c r="B20" s="112" t="s">
        <v>21</v>
      </c>
      <c r="C20" s="112"/>
      <c r="D20" s="112"/>
      <c r="E20" s="112"/>
      <c r="F20" s="112"/>
      <c r="G20" s="95">
        <v>2</v>
      </c>
      <c r="H20" s="95"/>
      <c r="AL20"/>
      <c r="AM20"/>
      <c r="AN20"/>
      <c r="AO20"/>
      <c r="AP20"/>
    </row>
    <row r="21" spans="1:42" x14ac:dyDescent="0.2">
      <c r="A21" s="25" t="s">
        <v>108</v>
      </c>
      <c r="B21" s="114" t="s">
        <v>109</v>
      </c>
      <c r="C21" s="114"/>
      <c r="D21" s="114"/>
      <c r="E21" s="114"/>
      <c r="F21" s="114"/>
      <c r="G21" s="117">
        <v>2</v>
      </c>
      <c r="H21" s="117"/>
      <c r="AL21"/>
      <c r="AM21"/>
      <c r="AN21"/>
      <c r="AO21"/>
      <c r="AP21"/>
    </row>
    <row r="22" spans="1:42" x14ac:dyDescent="0.2">
      <c r="A22" s="118"/>
      <c r="B22" s="118"/>
      <c r="C22" s="118"/>
      <c r="D22" s="118"/>
      <c r="E22" s="118"/>
      <c r="F22" s="118"/>
      <c r="G22" s="118"/>
      <c r="H22" s="118"/>
      <c r="AL22"/>
      <c r="AM22"/>
      <c r="AN22"/>
      <c r="AO22"/>
      <c r="AP22"/>
    </row>
    <row r="23" spans="1:42" x14ac:dyDescent="0.2">
      <c r="A23" s="119" t="s">
        <v>110</v>
      </c>
      <c r="B23" s="119"/>
      <c r="C23" s="119"/>
      <c r="D23" s="119"/>
      <c r="E23" s="119"/>
      <c r="F23" s="119"/>
      <c r="G23" s="119"/>
      <c r="H23" s="119"/>
      <c r="AL23"/>
      <c r="AM23"/>
      <c r="AN23"/>
      <c r="AO23"/>
      <c r="AP23"/>
    </row>
    <row r="24" spans="1:42" x14ac:dyDescent="0.2">
      <c r="A24" s="50" t="s">
        <v>111</v>
      </c>
      <c r="B24" s="109" t="s">
        <v>112</v>
      </c>
      <c r="C24" s="109"/>
      <c r="D24" s="109"/>
      <c r="E24" s="109"/>
      <c r="F24" s="109"/>
      <c r="G24" s="51" t="s">
        <v>113</v>
      </c>
      <c r="H24" s="52" t="s">
        <v>114</v>
      </c>
      <c r="AI24"/>
      <c r="AJ24"/>
      <c r="AK24"/>
      <c r="AL24"/>
      <c r="AM24"/>
      <c r="AN24"/>
      <c r="AO24"/>
      <c r="AP24"/>
    </row>
    <row r="25" spans="1:42" x14ac:dyDescent="0.2">
      <c r="A25" s="70" t="s">
        <v>81</v>
      </c>
      <c r="B25" s="106" t="s">
        <v>115</v>
      </c>
      <c r="C25" s="106"/>
      <c r="D25" s="106"/>
      <c r="E25" s="106"/>
      <c r="F25" s="106"/>
      <c r="G25" s="71"/>
      <c r="H25" s="55">
        <v>1764.4</v>
      </c>
      <c r="AI25"/>
      <c r="AJ25"/>
      <c r="AK25"/>
      <c r="AL25"/>
      <c r="AM25"/>
      <c r="AN25"/>
      <c r="AO25"/>
      <c r="AP25"/>
    </row>
    <row r="26" spans="1:42" x14ac:dyDescent="0.2">
      <c r="A26" s="70" t="s">
        <v>84</v>
      </c>
      <c r="B26" s="106" t="s">
        <v>116</v>
      </c>
      <c r="C26" s="106"/>
      <c r="D26" s="106"/>
      <c r="E26" s="106"/>
      <c r="F26" s="106"/>
      <c r="G26" s="71">
        <v>0.3</v>
      </c>
      <c r="H26" s="55">
        <f>H25*G26</f>
        <v>529.32000000000005</v>
      </c>
      <c r="AI26"/>
      <c r="AJ26"/>
      <c r="AK26"/>
      <c r="AL26"/>
      <c r="AM26"/>
      <c r="AN26"/>
      <c r="AO26"/>
      <c r="AP26"/>
    </row>
    <row r="27" spans="1:42" x14ac:dyDescent="0.2">
      <c r="A27" s="70" t="s">
        <v>86</v>
      </c>
      <c r="B27" s="106" t="s">
        <v>117</v>
      </c>
      <c r="C27" s="106"/>
      <c r="D27" s="106"/>
      <c r="E27" s="106"/>
      <c r="F27" s="106"/>
      <c r="G27" s="71"/>
      <c r="H27" s="55">
        <f>((H25+H26)/220*G27)*7*15</f>
        <v>0</v>
      </c>
      <c r="AI27"/>
      <c r="AJ27"/>
      <c r="AK27"/>
      <c r="AL27"/>
      <c r="AM27"/>
      <c r="AN27"/>
      <c r="AO27"/>
      <c r="AP27"/>
    </row>
    <row r="28" spans="1:42" x14ac:dyDescent="0.2">
      <c r="A28" s="70" t="s">
        <v>89</v>
      </c>
      <c r="B28" s="106" t="s">
        <v>118</v>
      </c>
      <c r="C28" s="106"/>
      <c r="D28" s="106"/>
      <c r="E28" s="106"/>
      <c r="F28" s="106"/>
      <c r="G28" s="71"/>
      <c r="H28" s="55">
        <v>0</v>
      </c>
      <c r="AI28"/>
      <c r="AJ28"/>
      <c r="AK28"/>
      <c r="AL28"/>
      <c r="AM28"/>
      <c r="AN28"/>
      <c r="AO28"/>
      <c r="AP28"/>
    </row>
    <row r="29" spans="1:42" x14ac:dyDescent="0.2">
      <c r="A29" s="109" t="s">
        <v>120</v>
      </c>
      <c r="B29" s="109"/>
      <c r="C29" s="109"/>
      <c r="D29" s="109"/>
      <c r="E29" s="109"/>
      <c r="F29" s="109"/>
      <c r="G29" s="109"/>
      <c r="H29" s="56">
        <f>SUM(H25:H28)</f>
        <v>2293.7200000000003</v>
      </c>
      <c r="AI29"/>
      <c r="AJ29"/>
      <c r="AK29"/>
      <c r="AL29"/>
      <c r="AM29"/>
      <c r="AN29"/>
      <c r="AO29"/>
      <c r="AP29"/>
    </row>
    <row r="30" spans="1:42" x14ac:dyDescent="0.2">
      <c r="A30" s="132"/>
      <c r="B30" s="132"/>
      <c r="C30" s="132"/>
      <c r="D30" s="132"/>
      <c r="E30" s="132"/>
      <c r="F30" s="132"/>
      <c r="G30" s="132"/>
      <c r="H30" s="132"/>
      <c r="AI30"/>
      <c r="AJ30"/>
      <c r="AK30"/>
      <c r="AL30"/>
      <c r="AM30"/>
      <c r="AN30"/>
      <c r="AO30"/>
      <c r="AP30"/>
    </row>
    <row r="31" spans="1:42" x14ac:dyDescent="0.2">
      <c r="A31" s="57" t="s">
        <v>121</v>
      </c>
      <c r="B31" s="109" t="s">
        <v>122</v>
      </c>
      <c r="C31" s="109"/>
      <c r="D31" s="109"/>
      <c r="E31" s="109"/>
      <c r="F31" s="109"/>
      <c r="G31" s="109"/>
      <c r="H31" s="52" t="s">
        <v>114</v>
      </c>
      <c r="AI31"/>
      <c r="AJ31"/>
      <c r="AK31"/>
      <c r="AL31"/>
      <c r="AM31"/>
      <c r="AN31"/>
      <c r="AO31"/>
      <c r="AP31"/>
    </row>
    <row r="32" spans="1:42" x14ac:dyDescent="0.2">
      <c r="A32" s="70" t="s">
        <v>92</v>
      </c>
      <c r="B32" s="106" t="s">
        <v>123</v>
      </c>
      <c r="C32" s="106"/>
      <c r="D32" s="106"/>
      <c r="E32" s="106"/>
      <c r="F32" s="106"/>
      <c r="G32" s="106"/>
      <c r="H32" s="55">
        <f>(H25/220)*1.5*15</f>
        <v>180.45</v>
      </c>
      <c r="AI32"/>
      <c r="AJ32"/>
      <c r="AK32"/>
      <c r="AL32"/>
      <c r="AM32"/>
      <c r="AN32"/>
      <c r="AO32"/>
      <c r="AP32"/>
    </row>
    <row r="33" spans="1:42" x14ac:dyDescent="0.2">
      <c r="A33" s="70" t="s">
        <v>95</v>
      </c>
      <c r="B33" s="106" t="s">
        <v>119</v>
      </c>
      <c r="C33" s="106"/>
      <c r="D33" s="106"/>
      <c r="E33" s="106"/>
      <c r="F33" s="106"/>
      <c r="G33" s="106"/>
      <c r="H33" s="55">
        <f>1.34*15</f>
        <v>20.100000000000001</v>
      </c>
      <c r="AI33"/>
      <c r="AJ33"/>
      <c r="AK33"/>
      <c r="AL33"/>
      <c r="AM33"/>
      <c r="AN33"/>
      <c r="AO33"/>
      <c r="AP33"/>
    </row>
    <row r="34" spans="1:42" x14ac:dyDescent="0.2">
      <c r="A34" s="109" t="s">
        <v>124</v>
      </c>
      <c r="B34" s="109"/>
      <c r="C34" s="109"/>
      <c r="D34" s="109"/>
      <c r="E34" s="109"/>
      <c r="F34" s="109"/>
      <c r="G34" s="109"/>
      <c r="H34" s="56">
        <f>SUM(H32:H33)</f>
        <v>200.54999999999998</v>
      </c>
      <c r="AI34"/>
      <c r="AJ34"/>
      <c r="AK34"/>
      <c r="AL34"/>
      <c r="AM34"/>
      <c r="AN34"/>
      <c r="AO34"/>
      <c r="AP34"/>
    </row>
    <row r="35" spans="1:42" x14ac:dyDescent="0.2">
      <c r="A35" s="132"/>
      <c r="B35" s="132"/>
      <c r="C35" s="132"/>
      <c r="D35" s="132"/>
      <c r="E35" s="132"/>
      <c r="F35" s="132"/>
      <c r="G35" s="132"/>
      <c r="H35" s="132"/>
      <c r="AI35"/>
      <c r="AJ35"/>
      <c r="AK35"/>
      <c r="AL35"/>
      <c r="AM35"/>
      <c r="AN35"/>
      <c r="AO35"/>
      <c r="AP35"/>
    </row>
    <row r="36" spans="1:42" x14ac:dyDescent="0.2">
      <c r="A36" s="109" t="s">
        <v>125</v>
      </c>
      <c r="B36" s="109"/>
      <c r="C36" s="109"/>
      <c r="D36" s="109"/>
      <c r="E36" s="109"/>
      <c r="F36" s="109"/>
      <c r="G36" s="109"/>
      <c r="H36" s="56">
        <f>SUM(H29,H34)</f>
        <v>2494.2700000000004</v>
      </c>
      <c r="AI36"/>
      <c r="AJ36"/>
      <c r="AK36"/>
      <c r="AL36"/>
      <c r="AM36"/>
      <c r="AN36"/>
      <c r="AO36"/>
      <c r="AP36"/>
    </row>
    <row r="37" spans="1:42" x14ac:dyDescent="0.2">
      <c r="A37" s="118"/>
      <c r="B37" s="118"/>
      <c r="C37" s="118"/>
      <c r="D37" s="118"/>
      <c r="E37" s="118"/>
      <c r="F37" s="118"/>
      <c r="G37" s="118"/>
      <c r="H37" s="118"/>
      <c r="AI37"/>
      <c r="AJ37"/>
      <c r="AK37"/>
      <c r="AL37"/>
      <c r="AM37"/>
      <c r="AN37"/>
      <c r="AO37"/>
      <c r="AP37"/>
    </row>
    <row r="38" spans="1:42" x14ac:dyDescent="0.2">
      <c r="A38" s="120" t="s">
        <v>126</v>
      </c>
      <c r="B38" s="120"/>
      <c r="C38" s="120"/>
      <c r="D38" s="120"/>
      <c r="E38" s="120"/>
      <c r="F38" s="120"/>
      <c r="G38" s="120"/>
      <c r="H38" s="120"/>
      <c r="AL38"/>
      <c r="AM38"/>
      <c r="AN38"/>
      <c r="AO38"/>
      <c r="AP38"/>
    </row>
    <row r="39" spans="1:42" x14ac:dyDescent="0.2">
      <c r="A39" s="50" t="s">
        <v>127</v>
      </c>
      <c r="B39" s="109" t="s">
        <v>128</v>
      </c>
      <c r="C39" s="109"/>
      <c r="D39" s="109"/>
      <c r="E39" s="109"/>
      <c r="F39" s="109"/>
      <c r="G39" s="50" t="s">
        <v>129</v>
      </c>
      <c r="H39" s="58" t="s">
        <v>114</v>
      </c>
      <c r="AL39"/>
      <c r="AM39"/>
      <c r="AN39"/>
      <c r="AO39"/>
      <c r="AP39"/>
    </row>
    <row r="40" spans="1:42" ht="14.65" customHeight="1" x14ac:dyDescent="0.2">
      <c r="A40" s="59" t="s">
        <v>81</v>
      </c>
      <c r="B40" s="121" t="s">
        <v>130</v>
      </c>
      <c r="C40" s="121"/>
      <c r="D40" s="121"/>
      <c r="E40" s="121"/>
      <c r="F40" s="121"/>
      <c r="G40" s="27">
        <f>1/12</f>
        <v>8.3333333333333329E-2</v>
      </c>
      <c r="H40" s="28">
        <f>H29*G40</f>
        <v>191.14333333333335</v>
      </c>
      <c r="AL40"/>
      <c r="AM40"/>
      <c r="AN40"/>
      <c r="AO40"/>
      <c r="AP40"/>
    </row>
    <row r="41" spans="1:42" ht="14.65" customHeight="1" x14ac:dyDescent="0.2">
      <c r="A41" s="59" t="s">
        <v>84</v>
      </c>
      <c r="B41" s="121" t="s">
        <v>131</v>
      </c>
      <c r="C41" s="121"/>
      <c r="D41" s="121"/>
      <c r="E41" s="121"/>
      <c r="F41" s="121"/>
      <c r="G41" s="78">
        <v>3.0249999999999999E-2</v>
      </c>
      <c r="H41" s="28">
        <f>H29*G41</f>
        <v>69.38503</v>
      </c>
      <c r="AL41"/>
      <c r="AM41"/>
      <c r="AN41"/>
      <c r="AO41"/>
      <c r="AP41"/>
    </row>
    <row r="42" spans="1:42" x14ac:dyDescent="0.2">
      <c r="A42" s="109" t="s">
        <v>132</v>
      </c>
      <c r="B42" s="109"/>
      <c r="C42" s="109"/>
      <c r="D42" s="109"/>
      <c r="E42" s="109"/>
      <c r="F42" s="109"/>
      <c r="G42" s="109"/>
      <c r="H42" s="58">
        <f>SUM(H40:H41)</f>
        <v>260.52836333333335</v>
      </c>
      <c r="AL42"/>
      <c r="AM42"/>
      <c r="AN42"/>
      <c r="AO42"/>
      <c r="AP42"/>
    </row>
    <row r="43" spans="1:42" x14ac:dyDescent="0.2">
      <c r="A43" s="122"/>
      <c r="B43" s="122"/>
      <c r="C43" s="122"/>
      <c r="D43" s="122"/>
      <c r="E43" s="122"/>
      <c r="F43" s="122"/>
      <c r="G43" s="122"/>
      <c r="H43" s="122"/>
      <c r="AL43"/>
      <c r="AM43"/>
      <c r="AN43"/>
      <c r="AO43"/>
      <c r="AP43"/>
    </row>
    <row r="44" spans="1:42" x14ac:dyDescent="0.2">
      <c r="A44" s="109" t="s">
        <v>133</v>
      </c>
      <c r="B44" s="109"/>
      <c r="C44" s="109"/>
      <c r="D44" s="109"/>
      <c r="E44" s="109"/>
      <c r="F44" s="109"/>
      <c r="G44" s="109"/>
      <c r="H44" s="55">
        <f>SUM(H29,H42)</f>
        <v>2554.2483633333336</v>
      </c>
      <c r="AL44"/>
      <c r="AM44"/>
      <c r="AN44"/>
      <c r="AO44"/>
      <c r="AP44"/>
    </row>
    <row r="45" spans="1:42" x14ac:dyDescent="0.2">
      <c r="A45" s="57" t="s">
        <v>134</v>
      </c>
      <c r="B45" s="109" t="s">
        <v>135</v>
      </c>
      <c r="C45" s="109"/>
      <c r="D45" s="109"/>
      <c r="E45" s="109"/>
      <c r="F45" s="109"/>
      <c r="G45" s="50" t="s">
        <v>136</v>
      </c>
      <c r="H45" s="58" t="s">
        <v>114</v>
      </c>
      <c r="AL45"/>
      <c r="AM45"/>
      <c r="AN45"/>
      <c r="AO45"/>
      <c r="AP45"/>
    </row>
    <row r="46" spans="1:42" x14ac:dyDescent="0.2">
      <c r="A46" s="53" t="s">
        <v>81</v>
      </c>
      <c r="B46" s="106" t="s">
        <v>137</v>
      </c>
      <c r="C46" s="106"/>
      <c r="D46" s="106"/>
      <c r="E46" s="106"/>
      <c r="F46" s="106"/>
      <c r="G46" s="54">
        <v>0.2</v>
      </c>
      <c r="H46" s="55">
        <f t="shared" ref="H46:H53" si="0">$H$44*G46</f>
        <v>510.84967266666672</v>
      </c>
      <c r="AL46"/>
      <c r="AM46"/>
      <c r="AN46"/>
      <c r="AO46"/>
      <c r="AP46"/>
    </row>
    <row r="47" spans="1:42" x14ac:dyDescent="0.2">
      <c r="A47" s="53" t="s">
        <v>84</v>
      </c>
      <c r="B47" s="106" t="s">
        <v>138</v>
      </c>
      <c r="C47" s="106"/>
      <c r="D47" s="106"/>
      <c r="E47" s="106"/>
      <c r="F47" s="106"/>
      <c r="G47" s="54">
        <v>2.5000000000000001E-2</v>
      </c>
      <c r="H47" s="55">
        <f t="shared" si="0"/>
        <v>63.85620908333334</v>
      </c>
      <c r="AL47"/>
      <c r="AM47"/>
      <c r="AN47"/>
      <c r="AO47"/>
      <c r="AP47"/>
    </row>
    <row r="48" spans="1:42" x14ac:dyDescent="0.2">
      <c r="A48" s="53" t="s">
        <v>86</v>
      </c>
      <c r="B48" s="73" t="s">
        <v>139</v>
      </c>
      <c r="C48" s="79" t="s">
        <v>277</v>
      </c>
      <c r="D48" s="70">
        <v>3</v>
      </c>
      <c r="E48" s="79" t="s">
        <v>278</v>
      </c>
      <c r="F48" s="80">
        <v>1</v>
      </c>
      <c r="G48" s="81">
        <f>D48*F48/100</f>
        <v>0.03</v>
      </c>
      <c r="H48" s="55">
        <f t="shared" si="0"/>
        <v>76.627450899999999</v>
      </c>
      <c r="I48" s="23" t="s">
        <v>279</v>
      </c>
      <c r="AL48"/>
      <c r="AM48"/>
      <c r="AN48"/>
      <c r="AO48"/>
      <c r="AP48"/>
    </row>
    <row r="49" spans="1:42" x14ac:dyDescent="0.2">
      <c r="A49" s="53" t="s">
        <v>89</v>
      </c>
      <c r="B49" s="106" t="s">
        <v>140</v>
      </c>
      <c r="C49" s="106"/>
      <c r="D49" s="106"/>
      <c r="E49" s="106"/>
      <c r="F49" s="106"/>
      <c r="G49" s="54">
        <v>1.4999999999999999E-2</v>
      </c>
      <c r="H49" s="55">
        <f t="shared" si="0"/>
        <v>38.31372545</v>
      </c>
      <c r="AL49"/>
      <c r="AM49"/>
      <c r="AN49"/>
      <c r="AO49"/>
      <c r="AP49"/>
    </row>
    <row r="50" spans="1:42" x14ac:dyDescent="0.2">
      <c r="A50" s="53" t="s">
        <v>92</v>
      </c>
      <c r="B50" s="106" t="s">
        <v>141</v>
      </c>
      <c r="C50" s="106"/>
      <c r="D50" s="106"/>
      <c r="E50" s="106"/>
      <c r="F50" s="106"/>
      <c r="G50" s="54">
        <v>0.01</v>
      </c>
      <c r="H50" s="55">
        <f t="shared" si="0"/>
        <v>25.542483633333337</v>
      </c>
      <c r="AL50"/>
      <c r="AM50"/>
      <c r="AN50"/>
      <c r="AO50"/>
      <c r="AP50"/>
    </row>
    <row r="51" spans="1:42" x14ac:dyDescent="0.2">
      <c r="A51" s="53" t="s">
        <v>95</v>
      </c>
      <c r="B51" s="106" t="s">
        <v>142</v>
      </c>
      <c r="C51" s="106"/>
      <c r="D51" s="106"/>
      <c r="E51" s="106"/>
      <c r="F51" s="106"/>
      <c r="G51" s="54">
        <v>6.0000000000000001E-3</v>
      </c>
      <c r="H51" s="55">
        <f t="shared" si="0"/>
        <v>15.325490180000003</v>
      </c>
      <c r="AL51"/>
      <c r="AM51"/>
      <c r="AN51"/>
      <c r="AO51"/>
      <c r="AP51"/>
    </row>
    <row r="52" spans="1:42" x14ac:dyDescent="0.2">
      <c r="A52" s="53" t="s">
        <v>97</v>
      </c>
      <c r="B52" s="106" t="s">
        <v>143</v>
      </c>
      <c r="C52" s="106"/>
      <c r="D52" s="106"/>
      <c r="E52" s="106"/>
      <c r="F52" s="106"/>
      <c r="G52" s="54">
        <v>2E-3</v>
      </c>
      <c r="H52" s="55">
        <f t="shared" si="0"/>
        <v>5.108496726666667</v>
      </c>
      <c r="AL52"/>
      <c r="AM52"/>
      <c r="AN52"/>
      <c r="AO52"/>
      <c r="AP52"/>
    </row>
    <row r="53" spans="1:42" x14ac:dyDescent="0.2">
      <c r="A53" s="53" t="s">
        <v>100</v>
      </c>
      <c r="B53" s="106" t="s">
        <v>144</v>
      </c>
      <c r="C53" s="106"/>
      <c r="D53" s="106"/>
      <c r="E53" s="106"/>
      <c r="F53" s="106"/>
      <c r="G53" s="54">
        <v>0.08</v>
      </c>
      <c r="H53" s="55">
        <f t="shared" si="0"/>
        <v>204.33986906666669</v>
      </c>
      <c r="AL53"/>
      <c r="AM53"/>
      <c r="AN53"/>
      <c r="AO53"/>
      <c r="AP53"/>
    </row>
    <row r="54" spans="1:42" x14ac:dyDescent="0.2">
      <c r="A54" s="109" t="s">
        <v>145</v>
      </c>
      <c r="B54" s="109"/>
      <c r="C54" s="109"/>
      <c r="D54" s="109"/>
      <c r="E54" s="109"/>
      <c r="F54" s="109"/>
      <c r="G54" s="60">
        <f>SUM(G46:G53)</f>
        <v>0.36800000000000005</v>
      </c>
      <c r="H54" s="56">
        <f>SUM(H46:H53)</f>
        <v>939.96339770666668</v>
      </c>
      <c r="AL54"/>
      <c r="AM54"/>
      <c r="AN54"/>
      <c r="AO54"/>
      <c r="AP54"/>
    </row>
    <row r="55" spans="1:42" x14ac:dyDescent="0.2">
      <c r="A55" s="122"/>
      <c r="B55" s="122"/>
      <c r="C55" s="122"/>
      <c r="D55" s="122"/>
      <c r="E55" s="122"/>
      <c r="F55" s="122"/>
      <c r="G55" s="122"/>
      <c r="H55" s="122"/>
      <c r="AL55"/>
      <c r="AM55"/>
      <c r="AN55"/>
      <c r="AO55"/>
      <c r="AP55"/>
    </row>
    <row r="56" spans="1:42" x14ac:dyDescent="0.2">
      <c r="A56" s="57" t="s">
        <v>146</v>
      </c>
      <c r="B56" s="109" t="s">
        <v>147</v>
      </c>
      <c r="C56" s="109"/>
      <c r="D56" s="109"/>
      <c r="E56" s="109"/>
      <c r="F56" s="109"/>
      <c r="G56" s="109"/>
      <c r="H56" s="58" t="s">
        <v>114</v>
      </c>
      <c r="AL56"/>
      <c r="AM56"/>
      <c r="AN56"/>
      <c r="AO56"/>
      <c r="AP56"/>
    </row>
    <row r="57" spans="1:42" x14ac:dyDescent="0.2">
      <c r="A57" s="59" t="s">
        <v>81</v>
      </c>
      <c r="B57" s="106" t="s">
        <v>148</v>
      </c>
      <c r="C57" s="106"/>
      <c r="D57" s="106"/>
      <c r="E57" s="106"/>
      <c r="F57" s="106"/>
      <c r="G57" s="106"/>
      <c r="H57" s="55">
        <f>H144</f>
        <v>0</v>
      </c>
      <c r="AL57"/>
      <c r="AM57"/>
      <c r="AN57"/>
      <c r="AO57"/>
      <c r="AP57"/>
    </row>
    <row r="58" spans="1:42" x14ac:dyDescent="0.2">
      <c r="A58" s="59" t="s">
        <v>84</v>
      </c>
      <c r="B58" s="106" t="s">
        <v>149</v>
      </c>
      <c r="C58" s="106"/>
      <c r="D58" s="106"/>
      <c r="E58" s="106"/>
      <c r="F58" s="106"/>
      <c r="G58" s="106"/>
      <c r="H58" s="55">
        <f>H155</f>
        <v>287.16000000000003</v>
      </c>
      <c r="AL58"/>
      <c r="AM58"/>
      <c r="AN58"/>
      <c r="AO58"/>
      <c r="AP58"/>
    </row>
    <row r="59" spans="1:42" x14ac:dyDescent="0.2">
      <c r="A59" s="59" t="s">
        <v>86</v>
      </c>
      <c r="B59" s="106" t="s">
        <v>150</v>
      </c>
      <c r="C59" s="106"/>
      <c r="D59" s="106"/>
      <c r="E59" s="106"/>
      <c r="F59" s="106"/>
      <c r="G59" s="106"/>
      <c r="H59" s="55">
        <v>0</v>
      </c>
      <c r="AH59"/>
      <c r="AI59"/>
      <c r="AJ59"/>
      <c r="AK59"/>
      <c r="AL59"/>
      <c r="AM59"/>
      <c r="AN59"/>
      <c r="AO59"/>
      <c r="AP59"/>
    </row>
    <row r="60" spans="1:42" x14ac:dyDescent="0.2">
      <c r="A60" s="109" t="s">
        <v>151</v>
      </c>
      <c r="B60" s="109"/>
      <c r="C60" s="109"/>
      <c r="D60" s="109"/>
      <c r="E60" s="109"/>
      <c r="F60" s="109"/>
      <c r="G60" s="109"/>
      <c r="H60" s="56">
        <f>SUM(H57:H59)</f>
        <v>287.16000000000003</v>
      </c>
      <c r="AL60"/>
      <c r="AM60"/>
      <c r="AN60"/>
      <c r="AO60"/>
      <c r="AP60"/>
    </row>
    <row r="61" spans="1:42" x14ac:dyDescent="0.2">
      <c r="A61" s="123"/>
      <c r="B61" s="123"/>
      <c r="C61" s="123"/>
      <c r="D61" s="123"/>
      <c r="E61" s="123"/>
      <c r="F61" s="123"/>
      <c r="G61" s="123"/>
      <c r="H61" s="123"/>
      <c r="AL61"/>
      <c r="AM61"/>
      <c r="AN61"/>
      <c r="AO61"/>
      <c r="AP61"/>
    </row>
    <row r="62" spans="1:42" x14ac:dyDescent="0.2">
      <c r="A62" s="120" t="s">
        <v>152</v>
      </c>
      <c r="B62" s="120"/>
      <c r="C62" s="120"/>
      <c r="D62" s="120"/>
      <c r="E62" s="120"/>
      <c r="F62" s="120"/>
      <c r="G62" s="120"/>
      <c r="H62" s="120"/>
      <c r="AL62"/>
      <c r="AM62"/>
      <c r="AN62"/>
      <c r="AO62"/>
      <c r="AP62"/>
    </row>
    <row r="63" spans="1:42" x14ac:dyDescent="0.2">
      <c r="A63" s="53" t="s">
        <v>127</v>
      </c>
      <c r="B63" s="106" t="s">
        <v>153</v>
      </c>
      <c r="C63" s="106"/>
      <c r="D63" s="106"/>
      <c r="E63" s="106"/>
      <c r="F63" s="106"/>
      <c r="G63" s="106"/>
      <c r="H63" s="55">
        <f>ROUND(H42,2)</f>
        <v>260.52999999999997</v>
      </c>
      <c r="AL63"/>
      <c r="AM63"/>
      <c r="AN63"/>
      <c r="AO63"/>
      <c r="AP63"/>
    </row>
    <row r="64" spans="1:42" x14ac:dyDescent="0.2">
      <c r="A64" s="53" t="s">
        <v>134</v>
      </c>
      <c r="B64" s="106" t="s">
        <v>154</v>
      </c>
      <c r="C64" s="106"/>
      <c r="D64" s="106"/>
      <c r="E64" s="106"/>
      <c r="F64" s="106"/>
      <c r="G64" s="106"/>
      <c r="H64" s="55">
        <f>ROUND(H54,2)</f>
        <v>939.96</v>
      </c>
      <c r="AL64"/>
      <c r="AM64"/>
      <c r="AN64"/>
      <c r="AO64"/>
      <c r="AP64"/>
    </row>
    <row r="65" spans="1:42" x14ac:dyDescent="0.2">
      <c r="A65" s="53" t="s">
        <v>146</v>
      </c>
      <c r="B65" s="106" t="s">
        <v>155</v>
      </c>
      <c r="C65" s="106"/>
      <c r="D65" s="106"/>
      <c r="E65" s="106"/>
      <c r="F65" s="106"/>
      <c r="G65" s="106"/>
      <c r="H65" s="55">
        <f>ROUND(H60,2)</f>
        <v>287.16000000000003</v>
      </c>
      <c r="AL65"/>
      <c r="AM65"/>
      <c r="AN65"/>
      <c r="AO65"/>
      <c r="AP65"/>
    </row>
    <row r="66" spans="1:42" x14ac:dyDescent="0.2">
      <c r="A66" s="109" t="s">
        <v>156</v>
      </c>
      <c r="B66" s="109"/>
      <c r="C66" s="109"/>
      <c r="D66" s="109"/>
      <c r="E66" s="109"/>
      <c r="F66" s="109"/>
      <c r="G66" s="109"/>
      <c r="H66" s="56">
        <f>SUM(H63:H65)</f>
        <v>1487.65</v>
      </c>
      <c r="AL66"/>
      <c r="AM66"/>
      <c r="AN66"/>
      <c r="AO66"/>
      <c r="AP66"/>
    </row>
    <row r="67" spans="1:42" x14ac:dyDescent="0.2">
      <c r="A67" s="123"/>
      <c r="B67" s="123"/>
      <c r="C67" s="123"/>
      <c r="D67" s="123"/>
      <c r="E67" s="123"/>
      <c r="F67" s="123"/>
      <c r="G67" s="123"/>
      <c r="H67" s="123"/>
      <c r="AL67"/>
      <c r="AM67"/>
      <c r="AN67"/>
      <c r="AO67"/>
      <c r="AP67"/>
    </row>
    <row r="68" spans="1:42" x14ac:dyDescent="0.2">
      <c r="A68" s="119" t="s">
        <v>157</v>
      </c>
      <c r="B68" s="119"/>
      <c r="C68" s="119"/>
      <c r="D68" s="119"/>
      <c r="E68" s="119"/>
      <c r="F68" s="119"/>
      <c r="G68" s="119"/>
      <c r="H68" s="119"/>
      <c r="AL68"/>
      <c r="AM68"/>
      <c r="AN68"/>
      <c r="AO68"/>
      <c r="AP68"/>
    </row>
    <row r="69" spans="1:42" x14ac:dyDescent="0.2">
      <c r="A69" s="109" t="s">
        <v>158</v>
      </c>
      <c r="B69" s="109"/>
      <c r="C69" s="109"/>
      <c r="D69" s="109"/>
      <c r="E69" s="109"/>
      <c r="F69" s="109"/>
      <c r="G69" s="109"/>
      <c r="H69" s="55">
        <f>H29+H40+H41</f>
        <v>2554.2483633333336</v>
      </c>
      <c r="AL69"/>
      <c r="AM69"/>
      <c r="AN69"/>
      <c r="AO69"/>
      <c r="AP69"/>
    </row>
    <row r="70" spans="1:42" x14ac:dyDescent="0.2">
      <c r="A70" s="25" t="s">
        <v>159</v>
      </c>
      <c r="B70" s="92" t="s">
        <v>160</v>
      </c>
      <c r="C70" s="92"/>
      <c r="D70" s="92"/>
      <c r="E70" s="92"/>
      <c r="F70" s="25" t="s">
        <v>161</v>
      </c>
      <c r="G70" s="25" t="s">
        <v>136</v>
      </c>
      <c r="H70" s="29" t="s">
        <v>114</v>
      </c>
      <c r="AL70"/>
      <c r="AM70"/>
      <c r="AN70"/>
      <c r="AO70"/>
      <c r="AP70"/>
    </row>
    <row r="71" spans="1:42" x14ac:dyDescent="0.2">
      <c r="A71" s="26" t="s">
        <v>81</v>
      </c>
      <c r="B71" s="124" t="s">
        <v>162</v>
      </c>
      <c r="C71" s="124"/>
      <c r="D71" s="124"/>
      <c r="E71" s="124"/>
      <c r="F71" s="30">
        <v>0.05</v>
      </c>
      <c r="G71" s="31">
        <f>(1/12)*(30/30)*F71</f>
        <v>4.1666666666666666E-3</v>
      </c>
      <c r="H71" s="32">
        <f>H69*G71</f>
        <v>10.642701513888889</v>
      </c>
      <c r="AL71"/>
      <c r="AM71"/>
      <c r="AN71"/>
      <c r="AO71"/>
      <c r="AP71"/>
    </row>
    <row r="72" spans="1:42" x14ac:dyDescent="0.2">
      <c r="A72" s="26" t="s">
        <v>84</v>
      </c>
      <c r="B72" s="112" t="s">
        <v>163</v>
      </c>
      <c r="C72" s="112"/>
      <c r="D72" s="112"/>
      <c r="E72" s="112"/>
      <c r="F72" s="112"/>
      <c r="G72" s="31">
        <f>G53</f>
        <v>0.08</v>
      </c>
      <c r="H72" s="32">
        <f>H71*G72</f>
        <v>0.8514161211111112</v>
      </c>
      <c r="AL72"/>
      <c r="AM72"/>
      <c r="AN72"/>
      <c r="AO72"/>
      <c r="AP72"/>
    </row>
    <row r="73" spans="1:42" x14ac:dyDescent="0.2">
      <c r="A73" s="26" t="s">
        <v>86</v>
      </c>
      <c r="B73" s="112" t="s">
        <v>164</v>
      </c>
      <c r="C73" s="112"/>
      <c r="D73" s="112"/>
      <c r="E73" s="112"/>
      <c r="F73" s="112"/>
      <c r="G73" s="31">
        <f>40%*G72*F71</f>
        <v>1.6000000000000001E-3</v>
      </c>
      <c r="H73" s="32">
        <f>H69*G73</f>
        <v>4.0867973813333336</v>
      </c>
      <c r="AL73"/>
      <c r="AM73"/>
      <c r="AN73"/>
      <c r="AO73"/>
      <c r="AP73"/>
    </row>
    <row r="74" spans="1:42" x14ac:dyDescent="0.2">
      <c r="A74" s="92" t="s">
        <v>165</v>
      </c>
      <c r="B74" s="92"/>
      <c r="C74" s="92"/>
      <c r="D74" s="92"/>
      <c r="E74" s="92"/>
      <c r="F74" s="92"/>
      <c r="G74" s="33"/>
      <c r="H74" s="34">
        <f>ROUND(SUM(H71:H73),2)</f>
        <v>15.58</v>
      </c>
      <c r="AL74"/>
      <c r="AM74"/>
      <c r="AN74"/>
      <c r="AO74"/>
      <c r="AP74"/>
    </row>
    <row r="75" spans="1:42" x14ac:dyDescent="0.2">
      <c r="A75" s="123"/>
      <c r="B75" s="123"/>
      <c r="C75" s="123"/>
      <c r="D75" s="123"/>
      <c r="E75" s="123"/>
      <c r="F75" s="123"/>
      <c r="G75" s="123"/>
      <c r="H75" s="123"/>
      <c r="AL75"/>
      <c r="AM75"/>
      <c r="AN75"/>
      <c r="AO75"/>
      <c r="AP75"/>
    </row>
    <row r="76" spans="1:42" x14ac:dyDescent="0.2">
      <c r="A76" s="109" t="s">
        <v>158</v>
      </c>
      <c r="B76" s="109"/>
      <c r="C76" s="109"/>
      <c r="D76" s="109"/>
      <c r="E76" s="109"/>
      <c r="F76" s="109"/>
      <c r="G76" s="109"/>
      <c r="H76" s="32">
        <f>H29</f>
        <v>2293.7200000000003</v>
      </c>
      <c r="AL76"/>
      <c r="AM76"/>
      <c r="AN76"/>
      <c r="AO76"/>
      <c r="AP76"/>
    </row>
    <row r="77" spans="1:42" x14ac:dyDescent="0.2">
      <c r="A77" s="109" t="s">
        <v>166</v>
      </c>
      <c r="B77" s="109"/>
      <c r="C77" s="109"/>
      <c r="D77" s="109"/>
      <c r="E77" s="109"/>
      <c r="F77" s="109"/>
      <c r="G77" s="109"/>
      <c r="H77" s="32">
        <f>H29+H40+H41+H88</f>
        <v>2762.4034533333338</v>
      </c>
      <c r="AL77"/>
      <c r="AM77"/>
      <c r="AN77"/>
      <c r="AO77"/>
      <c r="AP77"/>
    </row>
    <row r="78" spans="1:42" x14ac:dyDescent="0.2">
      <c r="A78" s="25" t="s">
        <v>167</v>
      </c>
      <c r="B78" s="92" t="s">
        <v>168</v>
      </c>
      <c r="C78" s="92"/>
      <c r="D78" s="92"/>
      <c r="E78" s="92"/>
      <c r="F78" s="35" t="s">
        <v>169</v>
      </c>
      <c r="G78" s="33" t="s">
        <v>136</v>
      </c>
      <c r="H78" s="29" t="s">
        <v>114</v>
      </c>
      <c r="AL78"/>
      <c r="AM78"/>
      <c r="AN78"/>
      <c r="AO78"/>
      <c r="AP78"/>
    </row>
    <row r="79" spans="1:42" x14ac:dyDescent="0.2">
      <c r="A79" s="26" t="s">
        <v>81</v>
      </c>
      <c r="B79" s="124" t="s">
        <v>170</v>
      </c>
      <c r="C79" s="124"/>
      <c r="D79" s="124"/>
      <c r="E79" s="124"/>
      <c r="F79" s="30">
        <v>1</v>
      </c>
      <c r="G79" s="31">
        <f>7/12/30*F79</f>
        <v>1.9444444444444445E-2</v>
      </c>
      <c r="H79" s="32">
        <f>H76*G79</f>
        <v>44.600111111111119</v>
      </c>
      <c r="AL79"/>
      <c r="AM79"/>
      <c r="AN79"/>
      <c r="AO79"/>
      <c r="AP79"/>
    </row>
    <row r="80" spans="1:42" x14ac:dyDescent="0.2">
      <c r="A80" s="26" t="s">
        <v>84</v>
      </c>
      <c r="B80" s="112" t="s">
        <v>171</v>
      </c>
      <c r="C80" s="112"/>
      <c r="D80" s="112"/>
      <c r="E80" s="112"/>
      <c r="F80" s="112"/>
      <c r="G80" s="31">
        <f>G54</f>
        <v>0.36800000000000005</v>
      </c>
      <c r="H80" s="32">
        <f>H79*G80</f>
        <v>16.412840888888894</v>
      </c>
      <c r="AL80"/>
      <c r="AM80"/>
      <c r="AN80"/>
      <c r="AO80"/>
      <c r="AP80"/>
    </row>
    <row r="81" spans="1:42" x14ac:dyDescent="0.2">
      <c r="A81" s="26" t="s">
        <v>86</v>
      </c>
      <c r="B81" s="112" t="s">
        <v>172</v>
      </c>
      <c r="C81" s="112"/>
      <c r="D81" s="112"/>
      <c r="E81" s="112"/>
      <c r="F81" s="112"/>
      <c r="G81" s="31">
        <f>40%*G53*F79</f>
        <v>3.2000000000000001E-2</v>
      </c>
      <c r="H81" s="28">
        <f>G81*H77</f>
        <v>88.396910506666686</v>
      </c>
      <c r="AL81"/>
      <c r="AM81"/>
      <c r="AN81"/>
      <c r="AO81"/>
      <c r="AP81"/>
    </row>
    <row r="82" spans="1:42" x14ac:dyDescent="0.2">
      <c r="A82" s="92" t="s">
        <v>173</v>
      </c>
      <c r="B82" s="92"/>
      <c r="C82" s="92"/>
      <c r="D82" s="92"/>
      <c r="E82" s="92"/>
      <c r="F82" s="92"/>
      <c r="G82" s="33"/>
      <c r="H82" s="34">
        <f>ROUND(SUM(H79:H81),2)</f>
        <v>149.41</v>
      </c>
      <c r="AL82"/>
      <c r="AM82"/>
      <c r="AN82"/>
      <c r="AO82"/>
      <c r="AP82"/>
    </row>
    <row r="83" spans="1:42" x14ac:dyDescent="0.2">
      <c r="A83" s="92" t="s">
        <v>174</v>
      </c>
      <c r="B83" s="92"/>
      <c r="C83" s="92"/>
      <c r="D83" s="92"/>
      <c r="E83" s="92"/>
      <c r="F83" s="92"/>
      <c r="G83" s="92"/>
      <c r="H83" s="29">
        <f>SUM(H74,H82)</f>
        <v>164.99</v>
      </c>
      <c r="AL83"/>
      <c r="AM83"/>
      <c r="AN83"/>
      <c r="AO83"/>
      <c r="AP83"/>
    </row>
    <row r="84" spans="1:42" x14ac:dyDescent="0.2">
      <c r="A84" s="123"/>
      <c r="B84" s="123"/>
      <c r="C84" s="123"/>
      <c r="D84" s="123"/>
      <c r="E84" s="123"/>
      <c r="F84" s="123"/>
      <c r="G84" s="123"/>
      <c r="H84" s="123"/>
      <c r="AL84"/>
      <c r="AM84"/>
      <c r="AN84"/>
      <c r="AO84"/>
      <c r="AP84"/>
    </row>
    <row r="85" spans="1:42" x14ac:dyDescent="0.2">
      <c r="A85" s="120" t="s">
        <v>175</v>
      </c>
      <c r="B85" s="120"/>
      <c r="C85" s="120"/>
      <c r="D85" s="120"/>
      <c r="E85" s="120"/>
      <c r="F85" s="120"/>
      <c r="G85" s="120"/>
      <c r="H85" s="120"/>
      <c r="AL85"/>
      <c r="AM85"/>
      <c r="AN85"/>
      <c r="AO85"/>
      <c r="AP85"/>
    </row>
    <row r="86" spans="1:42" x14ac:dyDescent="0.2">
      <c r="A86" s="109" t="s">
        <v>176</v>
      </c>
      <c r="B86" s="109"/>
      <c r="C86" s="109"/>
      <c r="D86" s="109"/>
      <c r="E86" s="109"/>
      <c r="F86" s="109"/>
      <c r="G86" s="109"/>
      <c r="H86" s="55">
        <f>+H29+H42+H88</f>
        <v>2762.4034533333338</v>
      </c>
      <c r="AL86"/>
      <c r="AM86"/>
      <c r="AN86"/>
      <c r="AO86"/>
      <c r="AP86"/>
    </row>
    <row r="87" spans="1:42" x14ac:dyDescent="0.2">
      <c r="A87" s="50" t="s">
        <v>177</v>
      </c>
      <c r="B87" s="109" t="s">
        <v>178</v>
      </c>
      <c r="C87" s="109"/>
      <c r="D87" s="109"/>
      <c r="E87" s="109"/>
      <c r="F87" s="109"/>
      <c r="G87" s="25" t="s">
        <v>136</v>
      </c>
      <c r="H87" s="58" t="s">
        <v>114</v>
      </c>
      <c r="AL87"/>
      <c r="AM87"/>
      <c r="AN87"/>
      <c r="AO87"/>
      <c r="AP87"/>
    </row>
    <row r="88" spans="1:42" x14ac:dyDescent="0.2">
      <c r="A88" s="59" t="s">
        <v>81</v>
      </c>
      <c r="B88" s="125" t="s">
        <v>179</v>
      </c>
      <c r="C88" s="125"/>
      <c r="D88" s="125"/>
      <c r="E88" s="125"/>
      <c r="F88" s="125"/>
      <c r="G88" s="82">
        <v>9.0749999999999997E-2</v>
      </c>
      <c r="H88" s="55">
        <f>H29*G88</f>
        <v>208.15509000000003</v>
      </c>
      <c r="AL88"/>
      <c r="AM88"/>
      <c r="AN88"/>
      <c r="AO88"/>
      <c r="AP88"/>
    </row>
    <row r="89" spans="1:42" x14ac:dyDescent="0.2">
      <c r="A89" s="59" t="s">
        <v>84</v>
      </c>
      <c r="B89" s="125" t="s">
        <v>180</v>
      </c>
      <c r="C89" s="125"/>
      <c r="D89" s="125"/>
      <c r="E89" s="125"/>
      <c r="F89" s="125"/>
      <c r="G89" s="61">
        <f>2.96/30/12</f>
        <v>8.2222222222222228E-3</v>
      </c>
      <c r="H89" s="55">
        <f>H86*G89</f>
        <v>22.713095060740745</v>
      </c>
      <c r="AL89"/>
      <c r="AM89"/>
      <c r="AN89"/>
      <c r="AO89"/>
      <c r="AP89"/>
    </row>
    <row r="90" spans="1:42" x14ac:dyDescent="0.2">
      <c r="A90" s="59" t="s">
        <v>86</v>
      </c>
      <c r="B90" s="125" t="s">
        <v>181</v>
      </c>
      <c r="C90" s="125"/>
      <c r="D90" s="125"/>
      <c r="E90" s="125"/>
      <c r="F90" s="125"/>
      <c r="G90" s="61">
        <f>5/30/12*0.015</f>
        <v>2.0833333333333332E-4</v>
      </c>
      <c r="H90" s="55">
        <f>H86*G90</f>
        <v>0.57550071944444448</v>
      </c>
      <c r="AL90"/>
      <c r="AM90"/>
      <c r="AN90"/>
      <c r="AO90"/>
      <c r="AP90"/>
    </row>
    <row r="91" spans="1:42" x14ac:dyDescent="0.2">
      <c r="A91" s="59" t="s">
        <v>89</v>
      </c>
      <c r="B91" s="125" t="s">
        <v>182</v>
      </c>
      <c r="C91" s="125"/>
      <c r="D91" s="125"/>
      <c r="E91" s="125"/>
      <c r="F91" s="125"/>
      <c r="G91" s="61">
        <f>15/30/12*0.0078</f>
        <v>3.2499999999999999E-4</v>
      </c>
      <c r="H91" s="55">
        <f>H86*G91</f>
        <v>0.8977811223333334</v>
      </c>
      <c r="AL91"/>
      <c r="AM91"/>
      <c r="AN91"/>
      <c r="AO91"/>
      <c r="AP91"/>
    </row>
    <row r="92" spans="1:42" x14ac:dyDescent="0.2">
      <c r="A92" s="59" t="s">
        <v>92</v>
      </c>
      <c r="B92" s="125" t="s">
        <v>183</v>
      </c>
      <c r="C92" s="125"/>
      <c r="D92" s="125"/>
      <c r="E92" s="125"/>
      <c r="F92" s="125"/>
      <c r="G92" s="61">
        <f>4/12*0.02</f>
        <v>6.6666666666666662E-3</v>
      </c>
      <c r="H92" s="55">
        <f>(((H29+H42)/12)*G92)</f>
        <v>1.4190268685185186</v>
      </c>
      <c r="AL92"/>
      <c r="AM92"/>
      <c r="AN92"/>
      <c r="AO92"/>
      <c r="AP92"/>
    </row>
    <row r="93" spans="1:42" x14ac:dyDescent="0.2">
      <c r="A93" s="59" t="s">
        <v>95</v>
      </c>
      <c r="B93" s="125" t="s">
        <v>150</v>
      </c>
      <c r="C93" s="125"/>
      <c r="D93" s="125"/>
      <c r="E93" s="125"/>
      <c r="F93" s="125"/>
      <c r="G93" s="61"/>
      <c r="H93" s="55">
        <v>0</v>
      </c>
      <c r="AL93"/>
      <c r="AM93"/>
      <c r="AN93"/>
      <c r="AO93"/>
      <c r="AP93"/>
    </row>
    <row r="94" spans="1:42" x14ac:dyDescent="0.2">
      <c r="A94" s="109" t="s">
        <v>184</v>
      </c>
      <c r="B94" s="109"/>
      <c r="C94" s="109"/>
      <c r="D94" s="109"/>
      <c r="E94" s="109"/>
      <c r="F94" s="109"/>
      <c r="G94" s="109"/>
      <c r="H94" s="56">
        <f>SUM(H88:H93)</f>
        <v>233.76049377103709</v>
      </c>
      <c r="AL94"/>
      <c r="AM94"/>
      <c r="AN94"/>
      <c r="AO94"/>
      <c r="AP94"/>
    </row>
    <row r="95" spans="1:42" x14ac:dyDescent="0.2">
      <c r="A95" s="59" t="s">
        <v>97</v>
      </c>
      <c r="B95" s="125" t="s">
        <v>185</v>
      </c>
      <c r="C95" s="125"/>
      <c r="D95" s="125"/>
      <c r="E95" s="125"/>
      <c r="F95" s="125"/>
      <c r="G95" s="61">
        <f>G54</f>
        <v>0.36800000000000005</v>
      </c>
      <c r="H95" s="55">
        <f>H94*G95</f>
        <v>86.023861707741659</v>
      </c>
      <c r="AL95"/>
      <c r="AM95"/>
      <c r="AN95"/>
      <c r="AO95"/>
      <c r="AP95"/>
    </row>
    <row r="96" spans="1:42" x14ac:dyDescent="0.2">
      <c r="A96" s="109" t="s">
        <v>186</v>
      </c>
      <c r="B96" s="109"/>
      <c r="C96" s="109"/>
      <c r="D96" s="109"/>
      <c r="E96" s="109"/>
      <c r="F96" s="109"/>
      <c r="G96" s="109"/>
      <c r="H96" s="58">
        <f>ROUND(SUM(H94:H95),2)</f>
        <v>319.77999999999997</v>
      </c>
      <c r="AL96"/>
      <c r="AM96"/>
      <c r="AN96"/>
      <c r="AO96"/>
      <c r="AP96"/>
    </row>
    <row r="97" spans="1:42" x14ac:dyDescent="0.2">
      <c r="A97" s="123"/>
      <c r="B97" s="123"/>
      <c r="C97" s="123"/>
      <c r="D97" s="123"/>
      <c r="E97" s="123"/>
      <c r="F97" s="123"/>
      <c r="G97" s="123"/>
      <c r="H97" s="123"/>
      <c r="AL97"/>
      <c r="AM97"/>
      <c r="AN97"/>
      <c r="AO97"/>
      <c r="AP97"/>
    </row>
    <row r="98" spans="1:42" x14ac:dyDescent="0.2">
      <c r="A98" s="120" t="s">
        <v>187</v>
      </c>
      <c r="B98" s="120"/>
      <c r="C98" s="120"/>
      <c r="D98" s="120"/>
      <c r="E98" s="120"/>
      <c r="F98" s="120"/>
      <c r="G98" s="120"/>
      <c r="H98" s="120"/>
      <c r="AL98"/>
      <c r="AM98"/>
      <c r="AN98"/>
      <c r="AO98"/>
      <c r="AP98"/>
    </row>
    <row r="99" spans="1:42" x14ac:dyDescent="0.2">
      <c r="A99" s="109" t="s">
        <v>188</v>
      </c>
      <c r="B99" s="109"/>
      <c r="C99" s="109"/>
      <c r="D99" s="109"/>
      <c r="E99" s="109"/>
      <c r="F99" s="109"/>
      <c r="G99" s="109"/>
      <c r="H99" s="58" t="s">
        <v>114</v>
      </c>
      <c r="AL99"/>
      <c r="AM99"/>
      <c r="AN99"/>
      <c r="AO99"/>
      <c r="AP99"/>
    </row>
    <row r="100" spans="1:42" x14ac:dyDescent="0.2">
      <c r="A100" s="53" t="s">
        <v>81</v>
      </c>
      <c r="B100" s="106" t="s">
        <v>189</v>
      </c>
      <c r="C100" s="106"/>
      <c r="D100" s="106"/>
      <c r="E100" s="106"/>
      <c r="F100" s="106"/>
      <c r="G100" s="106"/>
      <c r="H100" s="55">
        <f>H173</f>
        <v>105.09</v>
      </c>
      <c r="AL100"/>
      <c r="AM100"/>
      <c r="AN100"/>
      <c r="AO100"/>
      <c r="AP100"/>
    </row>
    <row r="101" spans="1:42" x14ac:dyDescent="0.2">
      <c r="A101" s="53" t="s">
        <v>84</v>
      </c>
      <c r="B101" s="106" t="s">
        <v>190</v>
      </c>
      <c r="C101" s="106"/>
      <c r="D101" s="106"/>
      <c r="E101" s="106"/>
      <c r="F101" s="106"/>
      <c r="G101" s="106"/>
      <c r="H101" s="55">
        <v>0</v>
      </c>
      <c r="AL101"/>
      <c r="AM101"/>
      <c r="AN101"/>
      <c r="AO101"/>
      <c r="AP101"/>
    </row>
    <row r="102" spans="1:42" x14ac:dyDescent="0.2">
      <c r="A102" s="53" t="s">
        <v>86</v>
      </c>
      <c r="B102" s="106" t="s">
        <v>191</v>
      </c>
      <c r="C102" s="106"/>
      <c r="D102" s="106"/>
      <c r="E102" s="106"/>
      <c r="F102" s="106"/>
      <c r="G102" s="106"/>
      <c r="H102" s="55">
        <f>Equipamentos!H35</f>
        <v>81.260000000000005</v>
      </c>
      <c r="AL102"/>
      <c r="AM102"/>
      <c r="AN102"/>
      <c r="AO102"/>
      <c r="AP102"/>
    </row>
    <row r="103" spans="1:42" x14ac:dyDescent="0.2">
      <c r="A103" s="53" t="s">
        <v>89</v>
      </c>
      <c r="B103" s="106" t="s">
        <v>251</v>
      </c>
      <c r="C103" s="106"/>
      <c r="D103" s="106"/>
      <c r="E103" s="106"/>
      <c r="F103" s="106"/>
      <c r="G103" s="106"/>
      <c r="H103" s="55">
        <f>H159</f>
        <v>0</v>
      </c>
      <c r="AL103"/>
      <c r="AM103"/>
      <c r="AN103"/>
      <c r="AO103"/>
      <c r="AP103"/>
    </row>
    <row r="104" spans="1:42" x14ac:dyDescent="0.2">
      <c r="A104" s="109" t="s">
        <v>192</v>
      </c>
      <c r="B104" s="109"/>
      <c r="C104" s="109"/>
      <c r="D104" s="109"/>
      <c r="E104" s="109"/>
      <c r="F104" s="109"/>
      <c r="G104" s="109"/>
      <c r="H104" s="58">
        <f>SUM(H100:H103)</f>
        <v>186.35000000000002</v>
      </c>
      <c r="AL104"/>
      <c r="AM104"/>
      <c r="AN104"/>
      <c r="AO104"/>
      <c r="AP104"/>
    </row>
    <row r="105" spans="1:42" x14ac:dyDescent="0.2">
      <c r="A105" s="123"/>
      <c r="B105" s="123"/>
      <c r="C105" s="123"/>
      <c r="D105" s="123"/>
      <c r="E105" s="123"/>
      <c r="F105" s="123"/>
      <c r="G105" s="123"/>
      <c r="H105" s="123"/>
      <c r="AL105"/>
      <c r="AM105"/>
      <c r="AN105"/>
      <c r="AO105"/>
      <c r="AP105"/>
    </row>
    <row r="106" spans="1:42" x14ac:dyDescent="0.2">
      <c r="A106" s="120" t="s">
        <v>193</v>
      </c>
      <c r="B106" s="120"/>
      <c r="C106" s="120"/>
      <c r="D106" s="120"/>
      <c r="E106" s="120"/>
      <c r="F106" s="120"/>
      <c r="G106" s="120"/>
      <c r="H106" s="120"/>
      <c r="AL106"/>
      <c r="AM106"/>
      <c r="AN106"/>
      <c r="AO106"/>
      <c r="AP106"/>
    </row>
    <row r="107" spans="1:42" x14ac:dyDescent="0.2">
      <c r="A107" s="109" t="s">
        <v>194</v>
      </c>
      <c r="B107" s="109"/>
      <c r="C107" s="109"/>
      <c r="D107" s="109"/>
      <c r="E107" s="109"/>
      <c r="F107" s="51" t="s">
        <v>195</v>
      </c>
      <c r="G107" s="50" t="s">
        <v>136</v>
      </c>
      <c r="H107" s="58" t="s">
        <v>114</v>
      </c>
      <c r="AL107"/>
      <c r="AM107"/>
      <c r="AN107"/>
      <c r="AO107"/>
      <c r="AP107"/>
    </row>
    <row r="108" spans="1:42" x14ac:dyDescent="0.2">
      <c r="A108" s="59" t="s">
        <v>81</v>
      </c>
      <c r="B108" s="126" t="s">
        <v>196</v>
      </c>
      <c r="C108" s="126"/>
      <c r="D108" s="126"/>
      <c r="E108" s="126"/>
      <c r="F108" s="28">
        <f>SUM(H36+H66+H83+H96+H104)</f>
        <v>4653.0400000000009</v>
      </c>
      <c r="G108" s="61">
        <v>0.03</v>
      </c>
      <c r="H108" s="32">
        <f>ROUND(F108*G108,2)</f>
        <v>139.59</v>
      </c>
      <c r="AL108"/>
      <c r="AM108"/>
      <c r="AN108"/>
      <c r="AO108"/>
      <c r="AP108"/>
    </row>
    <row r="109" spans="1:42" x14ac:dyDescent="0.2">
      <c r="A109" s="59" t="s">
        <v>84</v>
      </c>
      <c r="B109" s="126" t="s">
        <v>197</v>
      </c>
      <c r="C109" s="126"/>
      <c r="D109" s="126"/>
      <c r="E109" s="126"/>
      <c r="F109" s="28">
        <f>SUM(F108,H108)</f>
        <v>4792.630000000001</v>
      </c>
      <c r="G109" s="61">
        <v>6.7900000000000002E-2</v>
      </c>
      <c r="H109" s="32">
        <f>ROUND(F109*G109,2)</f>
        <v>325.42</v>
      </c>
      <c r="AL109"/>
      <c r="AM109"/>
      <c r="AN109"/>
      <c r="AO109"/>
      <c r="AP109"/>
    </row>
    <row r="110" spans="1:42" x14ac:dyDescent="0.2">
      <c r="A110" s="59" t="s">
        <v>86</v>
      </c>
      <c r="B110" s="112" t="s">
        <v>198</v>
      </c>
      <c r="C110" s="112"/>
      <c r="D110" s="112"/>
      <c r="E110" s="112"/>
      <c r="F110" s="112"/>
      <c r="G110" s="112"/>
      <c r="H110" s="112"/>
      <c r="AL110"/>
      <c r="AM110"/>
      <c r="AN110"/>
      <c r="AO110"/>
      <c r="AP110"/>
    </row>
    <row r="111" spans="1:42" x14ac:dyDescent="0.2">
      <c r="A111" s="59"/>
      <c r="B111" s="126" t="s">
        <v>199</v>
      </c>
      <c r="C111" s="126"/>
      <c r="D111" s="126"/>
      <c r="E111" s="126"/>
      <c r="F111" s="28">
        <f>SUM(F109,H109)</f>
        <v>5118.0500000000011</v>
      </c>
      <c r="G111" s="61">
        <v>3.6499999999999998E-2</v>
      </c>
      <c r="H111" s="32">
        <f>ROUND(F111*G111,2)</f>
        <v>186.81</v>
      </c>
      <c r="AL111"/>
      <c r="AM111"/>
      <c r="AN111"/>
      <c r="AO111"/>
      <c r="AP111"/>
    </row>
    <row r="112" spans="1:42" x14ac:dyDescent="0.2">
      <c r="A112" s="59"/>
      <c r="B112" s="126" t="s">
        <v>200</v>
      </c>
      <c r="C112" s="126"/>
      <c r="D112" s="126"/>
      <c r="E112" s="126"/>
      <c r="F112" s="28">
        <f>SUM(F111,H111)</f>
        <v>5304.8600000000015</v>
      </c>
      <c r="G112" s="61">
        <v>0.04</v>
      </c>
      <c r="H112" s="32">
        <f>ROUND(F112*G112,2)</f>
        <v>212.19</v>
      </c>
      <c r="AL112"/>
      <c r="AM112"/>
      <c r="AN112"/>
      <c r="AO112"/>
      <c r="AP112"/>
    </row>
    <row r="113" spans="1:42" x14ac:dyDescent="0.2">
      <c r="A113" s="109" t="s">
        <v>201</v>
      </c>
      <c r="B113" s="109"/>
      <c r="C113" s="109"/>
      <c r="D113" s="109"/>
      <c r="E113" s="109"/>
      <c r="F113" s="109"/>
      <c r="G113" s="109"/>
      <c r="H113" s="58">
        <f>SUM(H108,H109,H111,H112)</f>
        <v>864.01</v>
      </c>
      <c r="AL113"/>
      <c r="AM113"/>
      <c r="AN113"/>
      <c r="AO113"/>
      <c r="AP113"/>
    </row>
    <row r="114" spans="1:42" x14ac:dyDescent="0.2">
      <c r="A114" s="123"/>
      <c r="B114" s="123"/>
      <c r="C114" s="123"/>
      <c r="D114" s="123"/>
      <c r="E114" s="123"/>
      <c r="F114" s="123"/>
      <c r="G114" s="123"/>
      <c r="H114" s="123"/>
      <c r="AL114"/>
      <c r="AM114"/>
      <c r="AN114"/>
      <c r="AO114"/>
      <c r="AP114"/>
    </row>
    <row r="115" spans="1:42" x14ac:dyDescent="0.2">
      <c r="A115" s="120" t="s">
        <v>202</v>
      </c>
      <c r="B115" s="120"/>
      <c r="C115" s="120"/>
      <c r="D115" s="120"/>
      <c r="E115" s="120"/>
      <c r="F115" s="120"/>
      <c r="G115" s="120"/>
      <c r="H115" s="62" t="s">
        <v>203</v>
      </c>
      <c r="AL115"/>
      <c r="AM115"/>
      <c r="AN115"/>
      <c r="AO115"/>
      <c r="AP115"/>
    </row>
    <row r="116" spans="1:42" x14ac:dyDescent="0.2">
      <c r="A116" s="59" t="s">
        <v>81</v>
      </c>
      <c r="B116" s="126" t="s">
        <v>204</v>
      </c>
      <c r="C116" s="126"/>
      <c r="D116" s="126"/>
      <c r="E116" s="126"/>
      <c r="F116" s="126"/>
      <c r="G116" s="126"/>
      <c r="H116" s="49">
        <f>ROUND(H36,2)</f>
        <v>2494.27</v>
      </c>
      <c r="AL116"/>
      <c r="AM116"/>
      <c r="AN116"/>
      <c r="AO116"/>
      <c r="AP116"/>
    </row>
    <row r="117" spans="1:42" x14ac:dyDescent="0.2">
      <c r="A117" s="59" t="s">
        <v>84</v>
      </c>
      <c r="B117" s="126" t="s">
        <v>205</v>
      </c>
      <c r="C117" s="126"/>
      <c r="D117" s="126"/>
      <c r="E117" s="126"/>
      <c r="F117" s="126"/>
      <c r="G117" s="126"/>
      <c r="H117" s="49">
        <f>ROUND(H66,2)</f>
        <v>1487.65</v>
      </c>
      <c r="AL117"/>
      <c r="AM117"/>
      <c r="AN117"/>
      <c r="AO117"/>
      <c r="AP117"/>
    </row>
    <row r="118" spans="1:42" x14ac:dyDescent="0.2">
      <c r="A118" s="59" t="s">
        <v>86</v>
      </c>
      <c r="B118" s="126" t="s">
        <v>206</v>
      </c>
      <c r="C118" s="126"/>
      <c r="D118" s="126"/>
      <c r="E118" s="126"/>
      <c r="F118" s="126"/>
      <c r="G118" s="126"/>
      <c r="H118" s="49">
        <f>ROUND(H83,2)</f>
        <v>164.99</v>
      </c>
      <c r="AL118"/>
      <c r="AM118"/>
      <c r="AN118"/>
      <c r="AO118"/>
      <c r="AP118"/>
    </row>
    <row r="119" spans="1:42" x14ac:dyDescent="0.2">
      <c r="A119" s="59" t="s">
        <v>89</v>
      </c>
      <c r="B119" s="126" t="s">
        <v>207</v>
      </c>
      <c r="C119" s="126"/>
      <c r="D119" s="126"/>
      <c r="E119" s="126"/>
      <c r="F119" s="126"/>
      <c r="G119" s="126"/>
      <c r="H119" s="49">
        <f>ROUND(H96,2)</f>
        <v>319.77999999999997</v>
      </c>
      <c r="AL119"/>
      <c r="AM119"/>
      <c r="AN119"/>
      <c r="AO119"/>
      <c r="AP119"/>
    </row>
    <row r="120" spans="1:42" x14ac:dyDescent="0.2">
      <c r="A120" s="59" t="s">
        <v>92</v>
      </c>
      <c r="B120" s="126" t="s">
        <v>208</v>
      </c>
      <c r="C120" s="126"/>
      <c r="D120" s="126"/>
      <c r="E120" s="126"/>
      <c r="F120" s="126"/>
      <c r="G120" s="126"/>
      <c r="H120" s="49">
        <f>ROUND(H104,2)</f>
        <v>186.35</v>
      </c>
      <c r="AL120"/>
      <c r="AM120"/>
      <c r="AN120"/>
      <c r="AO120"/>
      <c r="AP120"/>
    </row>
    <row r="121" spans="1:42" x14ac:dyDescent="0.2">
      <c r="A121" s="59" t="s">
        <v>95</v>
      </c>
      <c r="B121" s="126" t="s">
        <v>209</v>
      </c>
      <c r="C121" s="126"/>
      <c r="D121" s="126"/>
      <c r="E121" s="126"/>
      <c r="F121" s="126"/>
      <c r="G121" s="126"/>
      <c r="H121" s="49">
        <f>ROUND(H113,2)</f>
        <v>864.01</v>
      </c>
      <c r="AL121"/>
      <c r="AM121"/>
      <c r="AN121"/>
      <c r="AO121"/>
      <c r="AP121"/>
    </row>
    <row r="122" spans="1:42" x14ac:dyDescent="0.2">
      <c r="A122" s="109" t="s">
        <v>210</v>
      </c>
      <c r="B122" s="109"/>
      <c r="C122" s="109"/>
      <c r="D122" s="109"/>
      <c r="E122" s="109"/>
      <c r="F122" s="109"/>
      <c r="G122" s="109"/>
      <c r="H122" s="63">
        <f>SUM(H116:H121)</f>
        <v>5517.05</v>
      </c>
      <c r="AL122"/>
      <c r="AM122"/>
      <c r="AN122"/>
      <c r="AO122"/>
      <c r="AP122"/>
    </row>
    <row r="123" spans="1:42" x14ac:dyDescent="0.2">
      <c r="A123" s="118"/>
      <c r="B123" s="118"/>
      <c r="C123" s="118"/>
      <c r="D123" s="118"/>
      <c r="E123" s="118"/>
      <c r="F123" s="118"/>
      <c r="G123" s="118"/>
      <c r="H123" s="118"/>
      <c r="AL123"/>
      <c r="AM123"/>
      <c r="AN123"/>
      <c r="AO123"/>
      <c r="AP123"/>
    </row>
    <row r="124" spans="1:42" x14ac:dyDescent="0.2">
      <c r="A124" s="120" t="s">
        <v>211</v>
      </c>
      <c r="B124" s="120"/>
      <c r="C124" s="120"/>
      <c r="D124" s="120"/>
      <c r="E124" s="120"/>
      <c r="F124" s="120"/>
      <c r="G124" s="120"/>
      <c r="H124" s="120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</row>
    <row r="125" spans="1:42" ht="14.65" customHeight="1" x14ac:dyDescent="0.2">
      <c r="A125" s="127" t="s">
        <v>212</v>
      </c>
      <c r="B125" s="127"/>
      <c r="C125" s="127"/>
      <c r="D125" s="127"/>
      <c r="E125" s="127"/>
      <c r="F125" s="127"/>
      <c r="G125" s="127"/>
      <c r="H125" s="64">
        <f>H122</f>
        <v>5517.05</v>
      </c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</row>
    <row r="126" spans="1:42" ht="14.65" customHeight="1" x14ac:dyDescent="0.2">
      <c r="A126" s="127" t="s">
        <v>213</v>
      </c>
      <c r="B126" s="127"/>
      <c r="C126" s="127"/>
      <c r="D126" s="127"/>
      <c r="E126" s="127"/>
      <c r="F126" s="127"/>
      <c r="G126" s="127"/>
      <c r="H126" s="65">
        <f>G21</f>
        <v>2</v>
      </c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</row>
    <row r="127" spans="1:42" ht="14.65" customHeight="1" x14ac:dyDescent="0.2">
      <c r="A127" s="127" t="s">
        <v>214</v>
      </c>
      <c r="B127" s="127"/>
      <c r="C127" s="127"/>
      <c r="D127" s="127"/>
      <c r="E127" s="127"/>
      <c r="F127" s="127"/>
      <c r="G127" s="127"/>
      <c r="H127" s="66">
        <f>H125*H126</f>
        <v>11034.1</v>
      </c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</row>
    <row r="128" spans="1:42" ht="14.65" customHeight="1" x14ac:dyDescent="0.2">
      <c r="A128" s="127" t="s">
        <v>21</v>
      </c>
      <c r="B128" s="127"/>
      <c r="C128" s="127"/>
      <c r="D128" s="127"/>
      <c r="E128" s="127"/>
      <c r="F128" s="127"/>
      <c r="G128" s="127"/>
      <c r="H128" s="53">
        <f>G20</f>
        <v>2</v>
      </c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</row>
    <row r="129" spans="1:42" ht="14.65" customHeight="1" x14ac:dyDescent="0.2">
      <c r="A129" s="127" t="s">
        <v>215</v>
      </c>
      <c r="B129" s="127"/>
      <c r="C129" s="127"/>
      <c r="D129" s="127"/>
      <c r="E129" s="127"/>
      <c r="F129" s="127"/>
      <c r="G129" s="127"/>
      <c r="H129" s="66">
        <f>H127*H128</f>
        <v>22068.2</v>
      </c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</row>
    <row r="130" spans="1:42" ht="14.65" customHeight="1" x14ac:dyDescent="0.2">
      <c r="A130" s="127" t="s">
        <v>216</v>
      </c>
      <c r="B130" s="127"/>
      <c r="C130" s="127"/>
      <c r="D130" s="127"/>
      <c r="E130" s="127"/>
      <c r="F130" s="127"/>
      <c r="G130" s="127"/>
      <c r="H130" s="67">
        <f>H129*12</f>
        <v>264818.40000000002</v>
      </c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</row>
    <row r="131" spans="1:42" ht="14.65" customHeight="1" x14ac:dyDescent="0.2">
      <c r="A131" s="127" t="s">
        <v>217</v>
      </c>
      <c r="B131" s="127"/>
      <c r="C131" s="127"/>
      <c r="D131" s="127"/>
      <c r="E131" s="127"/>
      <c r="F131" s="127"/>
      <c r="G131" s="127"/>
      <c r="H131" s="68">
        <f>G18</f>
        <v>12</v>
      </c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</row>
    <row r="132" spans="1:42" ht="14.65" customHeight="1" x14ac:dyDescent="0.2">
      <c r="A132" s="128" t="s">
        <v>218</v>
      </c>
      <c r="B132" s="128"/>
      <c r="C132" s="128"/>
      <c r="D132" s="128"/>
      <c r="E132" s="128"/>
      <c r="F132" s="128"/>
      <c r="G132" s="128"/>
      <c r="H132" s="69">
        <f>H129*H131</f>
        <v>264818.40000000002</v>
      </c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</row>
    <row r="133" spans="1:42" x14ac:dyDescent="0.2">
      <c r="A133" s="118"/>
      <c r="B133" s="118"/>
      <c r="C133" s="118"/>
      <c r="D133" s="118"/>
      <c r="E133" s="118"/>
      <c r="F133" s="118"/>
      <c r="G133" s="118"/>
      <c r="H133" s="118"/>
      <c r="AL133"/>
      <c r="AM133"/>
      <c r="AN133"/>
      <c r="AO133"/>
      <c r="AP133"/>
    </row>
    <row r="134" spans="1:42" x14ac:dyDescent="0.2">
      <c r="A134" s="129"/>
      <c r="B134" s="129"/>
      <c r="C134" s="129"/>
      <c r="D134" s="129"/>
      <c r="E134" s="129"/>
      <c r="F134" s="129"/>
      <c r="G134" s="129"/>
      <c r="H134" s="129"/>
      <c r="AL134"/>
      <c r="AM134"/>
      <c r="AN134"/>
      <c r="AO134"/>
      <c r="AP134"/>
    </row>
    <row r="135" spans="1:42" x14ac:dyDescent="0.2">
      <c r="A135" s="120" t="s">
        <v>219</v>
      </c>
      <c r="B135" s="120"/>
      <c r="C135" s="120"/>
      <c r="D135" s="120"/>
      <c r="E135" s="120"/>
      <c r="F135" s="120"/>
      <c r="G135" s="120"/>
      <c r="H135" s="120"/>
    </row>
    <row r="136" spans="1:42" x14ac:dyDescent="0.2">
      <c r="A136" s="109" t="s">
        <v>220</v>
      </c>
      <c r="B136" s="109"/>
      <c r="C136" s="109"/>
      <c r="D136" s="109"/>
      <c r="E136" s="109"/>
      <c r="F136" s="109"/>
      <c r="G136" s="109"/>
      <c r="H136" s="109"/>
    </row>
    <row r="137" spans="1:42" x14ac:dyDescent="0.2">
      <c r="A137" s="130" t="s">
        <v>221</v>
      </c>
      <c r="B137" s="130"/>
      <c r="C137" s="130"/>
      <c r="D137" s="130" t="s">
        <v>222</v>
      </c>
      <c r="E137" s="130"/>
      <c r="F137" s="130" t="s">
        <v>223</v>
      </c>
      <c r="G137" s="130"/>
      <c r="H137" s="52" t="s">
        <v>224</v>
      </c>
    </row>
    <row r="138" spans="1:42" x14ac:dyDescent="0.2">
      <c r="A138" s="131">
        <v>0</v>
      </c>
      <c r="B138" s="131"/>
      <c r="C138" s="131"/>
      <c r="D138" s="132">
        <v>0</v>
      </c>
      <c r="E138" s="132"/>
      <c r="F138" s="117">
        <v>22</v>
      </c>
      <c r="G138" s="117"/>
      <c r="H138" s="64">
        <f>ROUND(A138*D138*F138,2)</f>
        <v>0</v>
      </c>
    </row>
    <row r="139" spans="1:42" x14ac:dyDescent="0.2">
      <c r="A139" s="132"/>
      <c r="B139" s="132"/>
      <c r="C139" s="132"/>
      <c r="D139" s="132"/>
      <c r="E139" s="132"/>
      <c r="F139" s="132"/>
      <c r="G139" s="132"/>
      <c r="H139" s="132"/>
    </row>
    <row r="140" spans="1:42" x14ac:dyDescent="0.2">
      <c r="A140" s="109" t="s">
        <v>225</v>
      </c>
      <c r="B140" s="109"/>
      <c r="C140" s="109"/>
      <c r="D140" s="109"/>
      <c r="E140" s="109"/>
      <c r="F140" s="109"/>
      <c r="G140" s="109"/>
      <c r="H140" s="109"/>
    </row>
    <row r="141" spans="1:42" x14ac:dyDescent="0.2">
      <c r="A141" s="130" t="s">
        <v>226</v>
      </c>
      <c r="B141" s="130"/>
      <c r="C141" s="130"/>
      <c r="D141" s="130" t="s">
        <v>227</v>
      </c>
      <c r="E141" s="130"/>
      <c r="F141" s="130" t="s">
        <v>228</v>
      </c>
      <c r="G141" s="130"/>
      <c r="H141" s="52" t="s">
        <v>229</v>
      </c>
    </row>
    <row r="142" spans="1:42" x14ac:dyDescent="0.2">
      <c r="A142" s="131">
        <f>H25</f>
        <v>1764.4</v>
      </c>
      <c r="B142" s="131"/>
      <c r="C142" s="131"/>
      <c r="D142" s="133">
        <v>1</v>
      </c>
      <c r="E142" s="133"/>
      <c r="F142" s="133">
        <v>0</v>
      </c>
      <c r="G142" s="133"/>
      <c r="H142" s="64">
        <f>ROUND(A142*D142*F142,2)</f>
        <v>0</v>
      </c>
    </row>
    <row r="143" spans="1:42" x14ac:dyDescent="0.2">
      <c r="A143" s="132"/>
      <c r="B143" s="132"/>
      <c r="C143" s="132"/>
      <c r="D143" s="132"/>
      <c r="E143" s="132"/>
      <c r="F143" s="132"/>
      <c r="G143" s="132"/>
      <c r="H143" s="132"/>
    </row>
    <row r="144" spans="1:42" x14ac:dyDescent="0.2">
      <c r="A144" s="109" t="s">
        <v>230</v>
      </c>
      <c r="B144" s="109"/>
      <c r="C144" s="109"/>
      <c r="D144" s="109"/>
      <c r="E144" s="109"/>
      <c r="F144" s="109"/>
      <c r="G144" s="109"/>
      <c r="H144" s="58">
        <f>IF(H138-H142&lt;0,"0,00",H138-H142)</f>
        <v>0</v>
      </c>
    </row>
    <row r="145" spans="1:8" x14ac:dyDescent="0.2">
      <c r="A145" s="118"/>
      <c r="B145" s="118"/>
      <c r="C145" s="118"/>
      <c r="D145" s="118"/>
      <c r="E145" s="118"/>
      <c r="F145" s="118"/>
      <c r="G145" s="118"/>
      <c r="H145" s="118"/>
    </row>
    <row r="146" spans="1:8" x14ac:dyDescent="0.2">
      <c r="A146" s="120" t="s">
        <v>231</v>
      </c>
      <c r="B146" s="120"/>
      <c r="C146" s="120"/>
      <c r="D146" s="120"/>
      <c r="E146" s="120"/>
      <c r="F146" s="120"/>
      <c r="G146" s="120"/>
      <c r="H146" s="120"/>
    </row>
    <row r="147" spans="1:8" x14ac:dyDescent="0.2">
      <c r="A147" s="109" t="s">
        <v>232</v>
      </c>
      <c r="B147" s="109"/>
      <c r="C147" s="109"/>
      <c r="D147" s="109"/>
      <c r="E147" s="109"/>
      <c r="F147" s="109"/>
      <c r="G147" s="109"/>
      <c r="H147" s="109"/>
    </row>
    <row r="148" spans="1:8" x14ac:dyDescent="0.2">
      <c r="A148" s="130" t="s">
        <v>221</v>
      </c>
      <c r="B148" s="130"/>
      <c r="C148" s="130"/>
      <c r="D148" s="130" t="s">
        <v>223</v>
      </c>
      <c r="E148" s="130"/>
      <c r="F148" s="130"/>
      <c r="G148" s="130" t="s">
        <v>224</v>
      </c>
      <c r="H148" s="130"/>
    </row>
    <row r="149" spans="1:8" x14ac:dyDescent="0.2">
      <c r="A149" s="131">
        <v>23.93</v>
      </c>
      <c r="B149" s="131"/>
      <c r="C149" s="131"/>
      <c r="D149" s="117">
        <v>15</v>
      </c>
      <c r="E149" s="117"/>
      <c r="F149" s="117"/>
      <c r="G149" s="131">
        <f>ROUND(A149*D149,2)</f>
        <v>358.95</v>
      </c>
      <c r="H149" s="131"/>
    </row>
    <row r="150" spans="1:8" x14ac:dyDescent="0.2">
      <c r="A150" s="132"/>
      <c r="B150" s="132"/>
      <c r="C150" s="132"/>
      <c r="D150" s="132"/>
      <c r="E150" s="132"/>
      <c r="F150" s="132"/>
      <c r="G150" s="132"/>
      <c r="H150" s="132"/>
    </row>
    <row r="151" spans="1:8" x14ac:dyDescent="0.2">
      <c r="A151" s="109" t="s">
        <v>233</v>
      </c>
      <c r="B151" s="109"/>
      <c r="C151" s="109"/>
      <c r="D151" s="109"/>
      <c r="E151" s="109"/>
      <c r="F151" s="109"/>
      <c r="G151" s="109"/>
      <c r="H151" s="109"/>
    </row>
    <row r="152" spans="1:8" x14ac:dyDescent="0.2">
      <c r="A152" s="130" t="s">
        <v>226</v>
      </c>
      <c r="B152" s="130"/>
      <c r="C152" s="130"/>
      <c r="D152" s="130" t="s">
        <v>228</v>
      </c>
      <c r="E152" s="130"/>
      <c r="F152" s="130"/>
      <c r="G152" s="130" t="s">
        <v>229</v>
      </c>
      <c r="H152" s="130"/>
    </row>
    <row r="153" spans="1:8" x14ac:dyDescent="0.2">
      <c r="A153" s="131">
        <f>G149</f>
        <v>358.95</v>
      </c>
      <c r="B153" s="131"/>
      <c r="C153" s="131"/>
      <c r="D153" s="133">
        <v>0.2</v>
      </c>
      <c r="E153" s="133"/>
      <c r="F153" s="133"/>
      <c r="G153" s="131">
        <f>ROUND(A153*D153,2)</f>
        <v>71.790000000000006</v>
      </c>
      <c r="H153" s="131"/>
    </row>
    <row r="154" spans="1:8" x14ac:dyDescent="0.2">
      <c r="A154" s="132"/>
      <c r="B154" s="132"/>
      <c r="C154" s="132"/>
      <c r="D154" s="132"/>
      <c r="E154" s="132"/>
      <c r="F154" s="132"/>
      <c r="G154" s="132"/>
      <c r="H154" s="132"/>
    </row>
    <row r="155" spans="1:8" x14ac:dyDescent="0.2">
      <c r="A155" s="109" t="s">
        <v>234</v>
      </c>
      <c r="B155" s="109"/>
      <c r="C155" s="109"/>
      <c r="D155" s="109"/>
      <c r="E155" s="109"/>
      <c r="F155" s="109"/>
      <c r="G155" s="109"/>
      <c r="H155" s="58">
        <f>ROUND(G149-G153,2)</f>
        <v>287.16000000000003</v>
      </c>
    </row>
    <row r="156" spans="1:8" x14ac:dyDescent="0.2">
      <c r="A156" s="118"/>
      <c r="B156" s="118"/>
      <c r="C156" s="118"/>
      <c r="D156" s="118"/>
      <c r="E156" s="118"/>
      <c r="F156" s="118"/>
      <c r="G156" s="118"/>
      <c r="H156" s="118"/>
    </row>
    <row r="157" spans="1:8" x14ac:dyDescent="0.2">
      <c r="A157" s="120" t="s">
        <v>252</v>
      </c>
      <c r="B157" s="120"/>
      <c r="C157" s="120"/>
      <c r="D157" s="120"/>
      <c r="E157" s="120"/>
      <c r="F157" s="120"/>
      <c r="G157" s="120"/>
      <c r="H157" s="120"/>
    </row>
    <row r="158" spans="1:8" ht="25.5" x14ac:dyDescent="0.2">
      <c r="A158" s="109" t="s">
        <v>33</v>
      </c>
      <c r="B158" s="109"/>
      <c r="C158" s="109"/>
      <c r="D158" s="109"/>
      <c r="E158" s="50" t="s">
        <v>236</v>
      </c>
      <c r="F158" s="50" t="s">
        <v>253</v>
      </c>
      <c r="G158" s="72" t="s">
        <v>254</v>
      </c>
      <c r="H158" s="50" t="s">
        <v>255</v>
      </c>
    </row>
    <row r="159" spans="1:8" x14ac:dyDescent="0.2">
      <c r="A159" s="135" t="s">
        <v>256</v>
      </c>
      <c r="B159" s="135"/>
      <c r="C159" s="135"/>
      <c r="D159" s="135"/>
      <c r="E159" s="59">
        <v>0</v>
      </c>
      <c r="F159" s="49">
        <v>81.400000000000006</v>
      </c>
      <c r="G159" s="59">
        <v>24</v>
      </c>
      <c r="H159" s="58">
        <f>ROUND((E159*F159)/G159,2)</f>
        <v>0</v>
      </c>
    </row>
    <row r="160" spans="1:8" x14ac:dyDescent="0.2">
      <c r="A160" s="118"/>
      <c r="B160" s="118"/>
      <c r="C160" s="118"/>
      <c r="D160" s="118"/>
      <c r="E160" s="118"/>
      <c r="F160" s="118"/>
      <c r="G160" s="118"/>
      <c r="H160" s="118"/>
    </row>
    <row r="161" spans="1:42" x14ac:dyDescent="0.2">
      <c r="A161" s="120" t="s">
        <v>235</v>
      </c>
      <c r="B161" s="120"/>
      <c r="C161" s="120"/>
      <c r="D161" s="120"/>
      <c r="E161" s="120"/>
      <c r="F161" s="120"/>
      <c r="G161" s="120"/>
      <c r="H161" s="120"/>
      <c r="AI161"/>
      <c r="AJ161"/>
      <c r="AK161"/>
      <c r="AL161"/>
      <c r="AM161"/>
      <c r="AN161"/>
      <c r="AO161"/>
      <c r="AP161"/>
    </row>
    <row r="162" spans="1:42" ht="25.5" x14ac:dyDescent="0.2">
      <c r="A162" s="50" t="s">
        <v>18</v>
      </c>
      <c r="B162" s="109" t="s">
        <v>33</v>
      </c>
      <c r="C162" s="109"/>
      <c r="D162" s="109"/>
      <c r="E162" s="50" t="s">
        <v>236</v>
      </c>
      <c r="F162" s="50" t="s">
        <v>221</v>
      </c>
      <c r="G162" s="72" t="s">
        <v>237</v>
      </c>
      <c r="H162" s="50" t="s">
        <v>238</v>
      </c>
      <c r="AI162"/>
      <c r="AJ162"/>
      <c r="AK162"/>
      <c r="AL162"/>
      <c r="AM162"/>
      <c r="AN162"/>
      <c r="AO162"/>
      <c r="AP162"/>
    </row>
    <row r="163" spans="1:42" x14ac:dyDescent="0.2">
      <c r="A163" s="59">
        <v>1</v>
      </c>
      <c r="B163" s="134" t="str">
        <f>VLOOKUP(A163,Insumos!$A$3:$E$28,3, )</f>
        <v>Apito com cordão</v>
      </c>
      <c r="C163" s="134"/>
      <c r="D163" s="134"/>
      <c r="E163" s="59">
        <v>1</v>
      </c>
      <c r="F163" s="49">
        <f>VLOOKUP(A163,Insumos!$A$3:$E$28,5, )</f>
        <v>25.96</v>
      </c>
      <c r="G163" s="59">
        <v>12</v>
      </c>
      <c r="H163" s="49">
        <f t="shared" ref="H163:H172" si="1">ROUND(E163*F163/G163,2)</f>
        <v>2.16</v>
      </c>
      <c r="AI163"/>
      <c r="AJ163"/>
      <c r="AK163"/>
      <c r="AL163"/>
      <c r="AM163"/>
      <c r="AN163"/>
      <c r="AO163"/>
      <c r="AP163"/>
    </row>
    <row r="164" spans="1:42" x14ac:dyDescent="0.2">
      <c r="A164" s="59">
        <v>2</v>
      </c>
      <c r="B164" s="134" t="str">
        <f>VLOOKUP(A164,Insumos!$A$3:$E$28,3, )</f>
        <v>Calça</v>
      </c>
      <c r="C164" s="134"/>
      <c r="D164" s="134"/>
      <c r="E164" s="59">
        <v>2</v>
      </c>
      <c r="F164" s="49">
        <f>VLOOKUP(A164,Insumos!$A$3:$E$28,5, )</f>
        <v>119.83</v>
      </c>
      <c r="G164" s="59">
        <v>12</v>
      </c>
      <c r="H164" s="49">
        <f t="shared" si="1"/>
        <v>19.97</v>
      </c>
      <c r="AI164"/>
      <c r="AJ164"/>
      <c r="AK164"/>
      <c r="AL164"/>
      <c r="AM164"/>
      <c r="AN164"/>
      <c r="AO164"/>
      <c r="AP164"/>
    </row>
    <row r="165" spans="1:42" x14ac:dyDescent="0.2">
      <c r="A165" s="59">
        <v>3</v>
      </c>
      <c r="B165" s="134" t="str">
        <f>VLOOKUP(A165,Insumos!$A$3:$E$28,3, )</f>
        <v>Camisa de mangas curtas</v>
      </c>
      <c r="C165" s="134"/>
      <c r="D165" s="134"/>
      <c r="E165" s="59">
        <v>3</v>
      </c>
      <c r="F165" s="49">
        <f>VLOOKUP(A165,Insumos!$A$3:$E$28,5, )</f>
        <v>93</v>
      </c>
      <c r="G165" s="59">
        <v>12</v>
      </c>
      <c r="H165" s="49">
        <f t="shared" si="1"/>
        <v>23.25</v>
      </c>
      <c r="AI165"/>
      <c r="AJ165"/>
      <c r="AK165"/>
      <c r="AL165"/>
      <c r="AM165"/>
      <c r="AN165"/>
      <c r="AO165"/>
      <c r="AP165"/>
    </row>
    <row r="166" spans="1:42" x14ac:dyDescent="0.2">
      <c r="A166" s="59">
        <v>4</v>
      </c>
      <c r="B166" s="134" t="str">
        <f>VLOOKUP(A166,Insumos!$A$3:$E$28,3, )</f>
        <v>Camisa de mangas longas</v>
      </c>
      <c r="C166" s="134"/>
      <c r="D166" s="134"/>
      <c r="E166" s="59">
        <v>2</v>
      </c>
      <c r="F166" s="49">
        <f>VLOOKUP(A166,Insumos!$A$3:$E$28,5, )</f>
        <v>102.25</v>
      </c>
      <c r="G166" s="59">
        <v>12</v>
      </c>
      <c r="H166" s="49">
        <f t="shared" si="1"/>
        <v>17.04</v>
      </c>
      <c r="AI166"/>
      <c r="AJ166"/>
      <c r="AK166"/>
      <c r="AL166"/>
      <c r="AM166"/>
      <c r="AN166"/>
      <c r="AO166"/>
      <c r="AP166"/>
    </row>
    <row r="167" spans="1:42" x14ac:dyDescent="0.2">
      <c r="A167" s="59">
        <v>6</v>
      </c>
      <c r="B167" s="134" t="str">
        <f>VLOOKUP(A167,Insumos!$A$3:$E$28,3, )</f>
        <v>Capa para Colete Balístico</v>
      </c>
      <c r="C167" s="134"/>
      <c r="D167" s="134"/>
      <c r="E167" s="59">
        <v>0</v>
      </c>
      <c r="F167" s="49">
        <f>VLOOKUP(A167,Insumos!$A$3:$E$28,5, )</f>
        <v>285.75</v>
      </c>
      <c r="G167" s="59">
        <v>12</v>
      </c>
      <c r="H167" s="49">
        <f t="shared" si="1"/>
        <v>0</v>
      </c>
      <c r="AI167"/>
      <c r="AJ167"/>
      <c r="AK167"/>
      <c r="AL167"/>
      <c r="AM167"/>
      <c r="AN167"/>
      <c r="AO167"/>
      <c r="AP167"/>
    </row>
    <row r="168" spans="1:42" x14ac:dyDescent="0.2">
      <c r="A168" s="59">
        <v>8</v>
      </c>
      <c r="B168" s="134" t="str">
        <f>VLOOKUP(A168,Insumos!$A$3:$E$28,3, )</f>
        <v>Cinto de Nylon</v>
      </c>
      <c r="C168" s="134"/>
      <c r="D168" s="134"/>
      <c r="E168" s="59">
        <v>1</v>
      </c>
      <c r="F168" s="49">
        <f>VLOOKUP(A168,Insumos!$A$3:$E$28,5, )</f>
        <v>26.07</v>
      </c>
      <c r="G168" s="59">
        <v>12</v>
      </c>
      <c r="H168" s="49">
        <f t="shared" si="1"/>
        <v>2.17</v>
      </c>
      <c r="AI168"/>
      <c r="AJ168"/>
      <c r="AK168"/>
      <c r="AL168"/>
      <c r="AM168"/>
      <c r="AN168"/>
      <c r="AO168"/>
      <c r="AP168"/>
    </row>
    <row r="169" spans="1:42" x14ac:dyDescent="0.2">
      <c r="A169" s="59">
        <v>12</v>
      </c>
      <c r="B169" s="134" t="str">
        <f>VLOOKUP(A169,Insumos!$A$3:$E$28,3, )</f>
        <v>Crachá de identificação</v>
      </c>
      <c r="C169" s="134"/>
      <c r="D169" s="134"/>
      <c r="E169" s="59">
        <v>1</v>
      </c>
      <c r="F169" s="49">
        <f>VLOOKUP(A169,Insumos!$A$3:$E$28,5, )</f>
        <v>6.52</v>
      </c>
      <c r="G169" s="59">
        <v>12</v>
      </c>
      <c r="H169" s="49">
        <f t="shared" si="1"/>
        <v>0.54</v>
      </c>
      <c r="AI169"/>
      <c r="AJ169"/>
      <c r="AK169"/>
      <c r="AL169"/>
      <c r="AM169"/>
      <c r="AN169"/>
      <c r="AO169"/>
      <c r="AP169"/>
    </row>
    <row r="170" spans="1:42" x14ac:dyDescent="0.2">
      <c r="A170" s="59">
        <v>15</v>
      </c>
      <c r="B170" s="134" t="str">
        <f>VLOOKUP(A170,Insumos!$A$3:$E$28,3, )</f>
        <v>Jaqueta de frio/Japona</v>
      </c>
      <c r="C170" s="134"/>
      <c r="D170" s="134"/>
      <c r="E170" s="59">
        <v>1</v>
      </c>
      <c r="F170" s="49">
        <f>VLOOKUP(A170,Insumos!$A$3:$E$28,5, )</f>
        <v>173.03</v>
      </c>
      <c r="G170" s="59">
        <v>12</v>
      </c>
      <c r="H170" s="49">
        <f t="shared" si="1"/>
        <v>14.42</v>
      </c>
      <c r="AI170"/>
      <c r="AJ170"/>
      <c r="AK170"/>
      <c r="AL170"/>
      <c r="AM170"/>
      <c r="AN170"/>
      <c r="AO170"/>
      <c r="AP170"/>
    </row>
    <row r="171" spans="1:42" x14ac:dyDescent="0.2">
      <c r="A171" s="59">
        <v>21</v>
      </c>
      <c r="B171" s="134" t="str">
        <f>VLOOKUP(A171,Insumos!$A$3:$E$28,3, )</f>
        <v>Quepe/Boné com emblema</v>
      </c>
      <c r="C171" s="134"/>
      <c r="D171" s="134"/>
      <c r="E171" s="59">
        <v>1</v>
      </c>
      <c r="F171" s="49">
        <f>VLOOKUP(A171,Insumos!$A$3:$E$28,5, )</f>
        <v>47.3</v>
      </c>
      <c r="G171" s="59">
        <v>12</v>
      </c>
      <c r="H171" s="49">
        <f t="shared" si="1"/>
        <v>3.94</v>
      </c>
      <c r="AI171"/>
      <c r="AJ171"/>
      <c r="AK171"/>
      <c r="AL171"/>
      <c r="AM171"/>
      <c r="AN171"/>
      <c r="AO171"/>
      <c r="AP171"/>
    </row>
    <row r="172" spans="1:42" x14ac:dyDescent="0.2">
      <c r="A172" s="59">
        <v>24</v>
      </c>
      <c r="B172" s="134" t="str">
        <f>VLOOKUP(A172,Insumos!$A$3:$E$28,3, )</f>
        <v>Sapatos/coturno</v>
      </c>
      <c r="C172" s="134"/>
      <c r="D172" s="134"/>
      <c r="E172" s="59">
        <v>2</v>
      </c>
      <c r="F172" s="49">
        <f>VLOOKUP(A172,Insumos!$A$3:$E$28,5, )</f>
        <v>129.58000000000001</v>
      </c>
      <c r="G172" s="59">
        <v>12</v>
      </c>
      <c r="H172" s="49">
        <f t="shared" si="1"/>
        <v>21.6</v>
      </c>
      <c r="AI172"/>
      <c r="AJ172"/>
      <c r="AK172"/>
      <c r="AL172"/>
      <c r="AM172"/>
      <c r="AN172"/>
      <c r="AO172"/>
      <c r="AP172"/>
    </row>
    <row r="173" spans="1:42" x14ac:dyDescent="0.2">
      <c r="A173" s="135" t="s">
        <v>239</v>
      </c>
      <c r="B173" s="135"/>
      <c r="C173" s="135"/>
      <c r="D173" s="135"/>
      <c r="E173" s="135"/>
      <c r="F173" s="135"/>
      <c r="G173" s="135"/>
      <c r="H173" s="58">
        <f>SUM(H163:H172)</f>
        <v>105.09</v>
      </c>
      <c r="I173" s="1"/>
      <c r="AI173"/>
      <c r="AJ173"/>
      <c r="AK173"/>
      <c r="AL173"/>
      <c r="AM173"/>
      <c r="AN173"/>
      <c r="AO173"/>
      <c r="AP173"/>
    </row>
    <row r="174" spans="1:42" hidden="1" x14ac:dyDescent="0.2"/>
    <row r="175" spans="1:42" hidden="1" x14ac:dyDescent="0.2"/>
  </sheetData>
  <mergeCells count="202">
    <mergeCell ref="A173:G173"/>
    <mergeCell ref="B164:D164"/>
    <mergeCell ref="B165:D165"/>
    <mergeCell ref="B166:D166"/>
    <mergeCell ref="B167:D167"/>
    <mergeCell ref="B168:D168"/>
    <mergeCell ref="B169:D169"/>
    <mergeCell ref="B170:D170"/>
    <mergeCell ref="B171:D171"/>
    <mergeCell ref="B172:D172"/>
    <mergeCell ref="A155:G155"/>
    <mergeCell ref="A156:H156"/>
    <mergeCell ref="A157:H157"/>
    <mergeCell ref="A158:D158"/>
    <mergeCell ref="A159:D159"/>
    <mergeCell ref="A160:H160"/>
    <mergeCell ref="A161:H161"/>
    <mergeCell ref="B162:D162"/>
    <mergeCell ref="B163:D163"/>
    <mergeCell ref="A150:H150"/>
    <mergeCell ref="A151:H151"/>
    <mergeCell ref="A152:C152"/>
    <mergeCell ref="D152:F152"/>
    <mergeCell ref="G152:H152"/>
    <mergeCell ref="A153:C153"/>
    <mergeCell ref="D153:F153"/>
    <mergeCell ref="G153:H153"/>
    <mergeCell ref="A154:H154"/>
    <mergeCell ref="A143:H143"/>
    <mergeCell ref="A144:G144"/>
    <mergeCell ref="A145:H145"/>
    <mergeCell ref="A146:H146"/>
    <mergeCell ref="A147:H147"/>
    <mergeCell ref="A148:C148"/>
    <mergeCell ref="D148:F148"/>
    <mergeCell ref="G148:H148"/>
    <mergeCell ref="A149:C149"/>
    <mergeCell ref="D149:F149"/>
    <mergeCell ref="G149:H149"/>
    <mergeCell ref="A138:C138"/>
    <mergeCell ref="D138:E138"/>
    <mergeCell ref="F138:G138"/>
    <mergeCell ref="A139:H139"/>
    <mergeCell ref="A140:H140"/>
    <mergeCell ref="A141:C141"/>
    <mergeCell ref="D141:E141"/>
    <mergeCell ref="F141:G141"/>
    <mergeCell ref="A142:C142"/>
    <mergeCell ref="D142:E142"/>
    <mergeCell ref="F142:G142"/>
    <mergeCell ref="A130:G130"/>
    <mergeCell ref="A131:G131"/>
    <mergeCell ref="A132:G132"/>
    <mergeCell ref="A133:H133"/>
    <mergeCell ref="A134:H134"/>
    <mergeCell ref="A135:H135"/>
    <mergeCell ref="A136:H136"/>
    <mergeCell ref="A137:C137"/>
    <mergeCell ref="D137:E137"/>
    <mergeCell ref="F137:G137"/>
    <mergeCell ref="B121:G121"/>
    <mergeCell ref="A122:G122"/>
    <mergeCell ref="A123:H123"/>
    <mergeCell ref="A124:H124"/>
    <mergeCell ref="A125:G125"/>
    <mergeCell ref="A126:G126"/>
    <mergeCell ref="A127:G127"/>
    <mergeCell ref="A128:G128"/>
    <mergeCell ref="A129:G129"/>
    <mergeCell ref="B112:E112"/>
    <mergeCell ref="A113:G113"/>
    <mergeCell ref="A114:H114"/>
    <mergeCell ref="A115:G115"/>
    <mergeCell ref="B116:G116"/>
    <mergeCell ref="B117:G117"/>
    <mergeCell ref="B118:G118"/>
    <mergeCell ref="B119:G119"/>
    <mergeCell ref="B120:G120"/>
    <mergeCell ref="B103:G103"/>
    <mergeCell ref="A104:G104"/>
    <mergeCell ref="A105:H105"/>
    <mergeCell ref="A106:H106"/>
    <mergeCell ref="A107:E107"/>
    <mergeCell ref="B108:E108"/>
    <mergeCell ref="B109:E109"/>
    <mergeCell ref="B110:H110"/>
    <mergeCell ref="B111:E111"/>
    <mergeCell ref="A94:G94"/>
    <mergeCell ref="B95:F95"/>
    <mergeCell ref="A96:G96"/>
    <mergeCell ref="A97:H97"/>
    <mergeCell ref="A98:H98"/>
    <mergeCell ref="A99:G99"/>
    <mergeCell ref="B100:G100"/>
    <mergeCell ref="B101:G101"/>
    <mergeCell ref="B102:G102"/>
    <mergeCell ref="A85:H85"/>
    <mergeCell ref="A86:G86"/>
    <mergeCell ref="B87:F87"/>
    <mergeCell ref="B88:F88"/>
    <mergeCell ref="B89:F89"/>
    <mergeCell ref="B90:F90"/>
    <mergeCell ref="B91:F91"/>
    <mergeCell ref="B92:F92"/>
    <mergeCell ref="B93:F93"/>
    <mergeCell ref="A76:G76"/>
    <mergeCell ref="A77:G77"/>
    <mergeCell ref="B78:E78"/>
    <mergeCell ref="B79:E79"/>
    <mergeCell ref="B80:F80"/>
    <mergeCell ref="B81:F81"/>
    <mergeCell ref="A82:F82"/>
    <mergeCell ref="A83:G83"/>
    <mergeCell ref="A84:H84"/>
    <mergeCell ref="A67:H67"/>
    <mergeCell ref="A68:H68"/>
    <mergeCell ref="A69:G69"/>
    <mergeCell ref="B70:E70"/>
    <mergeCell ref="B71:E71"/>
    <mergeCell ref="B72:F72"/>
    <mergeCell ref="B73:F73"/>
    <mergeCell ref="A74:F74"/>
    <mergeCell ref="A75:H75"/>
    <mergeCell ref="B58:G58"/>
    <mergeCell ref="B59:G59"/>
    <mergeCell ref="A60:G60"/>
    <mergeCell ref="A61:H61"/>
    <mergeCell ref="A62:H62"/>
    <mergeCell ref="B63:G63"/>
    <mergeCell ref="B64:G64"/>
    <mergeCell ref="B65:G65"/>
    <mergeCell ref="A66:G66"/>
    <mergeCell ref="B49:F49"/>
    <mergeCell ref="B50:F50"/>
    <mergeCell ref="B51:F51"/>
    <mergeCell ref="B52:F52"/>
    <mergeCell ref="B53:F53"/>
    <mergeCell ref="A54:F54"/>
    <mergeCell ref="A55:H55"/>
    <mergeCell ref="B56:G56"/>
    <mergeCell ref="B57:G57"/>
    <mergeCell ref="B39:F39"/>
    <mergeCell ref="B40:F40"/>
    <mergeCell ref="B41:F41"/>
    <mergeCell ref="A42:G42"/>
    <mergeCell ref="A43:H43"/>
    <mergeCell ref="A44:G44"/>
    <mergeCell ref="B45:F45"/>
    <mergeCell ref="B46:F46"/>
    <mergeCell ref="B47:F47"/>
    <mergeCell ref="A29:G29"/>
    <mergeCell ref="A30:H30"/>
    <mergeCell ref="B31:G31"/>
    <mergeCell ref="B33:G33"/>
    <mergeCell ref="A34:G34"/>
    <mergeCell ref="A35:H35"/>
    <mergeCell ref="A36:G36"/>
    <mergeCell ref="A37:H37"/>
    <mergeCell ref="A38:H38"/>
    <mergeCell ref="B21:F21"/>
    <mergeCell ref="G21:H21"/>
    <mergeCell ref="A22:H22"/>
    <mergeCell ref="A23:H23"/>
    <mergeCell ref="B24:F24"/>
    <mergeCell ref="B25:F25"/>
    <mergeCell ref="B26:F26"/>
    <mergeCell ref="B27:F27"/>
    <mergeCell ref="B28:F28"/>
    <mergeCell ref="B16:F16"/>
    <mergeCell ref="G16:H16"/>
    <mergeCell ref="B17:F17"/>
    <mergeCell ref="G17:H17"/>
    <mergeCell ref="B18:F18"/>
    <mergeCell ref="G18:H18"/>
    <mergeCell ref="B19:F19"/>
    <mergeCell ref="G19:H19"/>
    <mergeCell ref="B20:F20"/>
    <mergeCell ref="G20:H20"/>
    <mergeCell ref="B32:G32"/>
    <mergeCell ref="A1:H1"/>
    <mergeCell ref="A2:H2"/>
    <mergeCell ref="A3:H3"/>
    <mergeCell ref="A4:H4"/>
    <mergeCell ref="A5:H5"/>
    <mergeCell ref="A6:B6"/>
    <mergeCell ref="C6:H6"/>
    <mergeCell ref="A7:B7"/>
    <mergeCell ref="C7:H7"/>
    <mergeCell ref="A8:H8"/>
    <mergeCell ref="A9:H9"/>
    <mergeCell ref="B10:D10"/>
    <mergeCell ref="E10:H10"/>
    <mergeCell ref="B11:F11"/>
    <mergeCell ref="G11:H11"/>
    <mergeCell ref="B12:F12"/>
    <mergeCell ref="G12:H12"/>
    <mergeCell ref="B13:F13"/>
    <mergeCell ref="G13:H13"/>
    <mergeCell ref="B14:F14"/>
    <mergeCell ref="G14:H14"/>
    <mergeCell ref="B15:F15"/>
    <mergeCell ref="G15:H15"/>
  </mergeCells>
  <printOptions horizontalCentered="1"/>
  <pageMargins left="0.39374999999999999" right="0.39374999999999999" top="0.39374999999999999" bottom="0.39374999999999999" header="0.51180555555555496" footer="0.51180555555555496"/>
  <pageSetup paperSize="9" scale="77" fitToHeight="0" orientation="portrait" horizontalDpi="300" verticalDpi="300" r:id="rId1"/>
  <rowBreaks count="1" manualBreakCount="1">
    <brk id="133" max="1638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9"/>
  <sheetViews>
    <sheetView zoomScaleNormal="100" workbookViewId="0">
      <selection sqref="A1:H1"/>
    </sheetView>
  </sheetViews>
  <sheetFormatPr defaultColWidth="0" defaultRowHeight="12.75" zeroHeight="1" x14ac:dyDescent="0.2"/>
  <cols>
    <col min="1" max="1" width="5.5703125" style="20" customWidth="1"/>
    <col min="2" max="2" width="17.42578125" style="20" customWidth="1"/>
    <col min="3" max="3" width="19.5703125" style="20" customWidth="1"/>
    <col min="4" max="4" width="19.85546875" style="20" customWidth="1"/>
    <col min="5" max="5" width="16.42578125" style="20" customWidth="1"/>
    <col min="6" max="6" width="13.85546875" style="20" customWidth="1"/>
    <col min="7" max="7" width="14.7109375" style="21" customWidth="1"/>
    <col min="8" max="8" width="18.85546875" style="22" customWidth="1"/>
    <col min="9" max="9" width="0.5703125" style="4" customWidth="1"/>
    <col min="10" max="13" width="16.5703125" style="4" hidden="1" customWidth="1"/>
    <col min="14" max="47" width="11.5703125" style="3" hidden="1" customWidth="1"/>
    <col min="48" max="16384" width="11.5703125" hidden="1"/>
  </cols>
  <sheetData>
    <row r="1" spans="1:47" ht="15.75" x14ac:dyDescent="0.2">
      <c r="A1" s="107" t="s">
        <v>1</v>
      </c>
      <c r="B1" s="107"/>
      <c r="C1" s="107"/>
      <c r="D1" s="107"/>
      <c r="E1" s="107"/>
      <c r="F1" s="107"/>
      <c r="G1" s="107"/>
      <c r="H1" s="107"/>
      <c r="I1" s="37"/>
      <c r="J1" s="37"/>
      <c r="K1" s="37"/>
      <c r="L1" s="37"/>
      <c r="M1" s="37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</row>
    <row r="2" spans="1:47" ht="15.75" x14ac:dyDescent="0.2">
      <c r="A2" s="107" t="s">
        <v>2</v>
      </c>
      <c r="B2" s="107"/>
      <c r="C2" s="107"/>
      <c r="D2" s="107"/>
      <c r="E2" s="107"/>
      <c r="F2" s="107"/>
      <c r="G2" s="107"/>
      <c r="H2" s="107"/>
      <c r="I2" s="37"/>
      <c r="J2" s="37"/>
      <c r="K2" s="37"/>
      <c r="L2" s="37"/>
      <c r="M2" s="37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</row>
    <row r="3" spans="1:47" ht="15.75" x14ac:dyDescent="0.2">
      <c r="A3" s="107" t="s">
        <v>3</v>
      </c>
      <c r="B3" s="107"/>
      <c r="C3" s="107"/>
      <c r="D3" s="107"/>
      <c r="E3" s="107"/>
      <c r="F3" s="107"/>
      <c r="G3" s="107"/>
      <c r="H3" s="107"/>
      <c r="I3" s="37"/>
      <c r="J3" s="37"/>
      <c r="K3" s="37"/>
      <c r="L3" s="37"/>
      <c r="M3" s="3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</row>
    <row r="4" spans="1:47" ht="15.75" x14ac:dyDescent="0.2">
      <c r="A4" s="108"/>
      <c r="B4" s="108"/>
      <c r="C4" s="108"/>
      <c r="D4" s="108"/>
      <c r="E4" s="108"/>
      <c r="F4" s="108"/>
      <c r="G4" s="108"/>
      <c r="H4" s="108"/>
      <c r="I4" s="37"/>
      <c r="J4" s="37"/>
      <c r="K4" s="37"/>
      <c r="L4" s="37"/>
      <c r="M4" s="3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</row>
    <row r="5" spans="1:47" ht="15.75" x14ac:dyDescent="0.2">
      <c r="A5" s="107" t="s">
        <v>77</v>
      </c>
      <c r="B5" s="107"/>
      <c r="C5" s="107"/>
      <c r="D5" s="107"/>
      <c r="E5" s="107"/>
      <c r="F5" s="107"/>
      <c r="G5" s="107"/>
      <c r="H5" s="107"/>
      <c r="I5" s="37"/>
      <c r="J5" s="37"/>
      <c r="K5" s="37"/>
      <c r="L5" s="37"/>
      <c r="M5" s="37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</row>
    <row r="6" spans="1:47" s="38" customFormat="1" x14ac:dyDescent="0.2">
      <c r="A6" s="109" t="s">
        <v>78</v>
      </c>
      <c r="B6" s="109"/>
      <c r="C6" s="95" t="str">
        <f>'2'!C6</f>
        <v>23205.003378/2023-69</v>
      </c>
      <c r="D6" s="95"/>
      <c r="E6" s="95"/>
      <c r="F6" s="95"/>
      <c r="G6" s="95"/>
      <c r="H6" s="95"/>
      <c r="I6" s="4"/>
      <c r="J6" s="4"/>
      <c r="K6" s="4"/>
      <c r="L6" s="4"/>
      <c r="M6" s="4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</row>
    <row r="7" spans="1:47" s="38" customFormat="1" x14ac:dyDescent="0.2">
      <c r="A7" s="109" t="s">
        <v>79</v>
      </c>
      <c r="B7" s="109"/>
      <c r="C7" s="95" t="str">
        <f>'2'!C7</f>
        <v>Pregão Eletrônico nº 03/2023</v>
      </c>
      <c r="D7" s="95"/>
      <c r="E7" s="95"/>
      <c r="F7" s="95"/>
      <c r="G7" s="95"/>
      <c r="H7" s="95"/>
      <c r="I7" s="4"/>
      <c r="J7" s="4"/>
      <c r="K7" s="4"/>
      <c r="L7" s="4"/>
      <c r="M7" s="4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</row>
    <row r="8" spans="1:47" s="38" customFormat="1" x14ac:dyDescent="0.2">
      <c r="A8" s="110"/>
      <c r="B8" s="110"/>
      <c r="C8" s="110"/>
      <c r="D8" s="110"/>
      <c r="E8" s="110"/>
      <c r="F8" s="110"/>
      <c r="G8" s="110"/>
      <c r="H8" s="110"/>
      <c r="I8" s="4"/>
      <c r="J8" s="4"/>
      <c r="K8" s="4"/>
      <c r="L8" s="4"/>
      <c r="M8" s="4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</row>
    <row r="9" spans="1:47" s="38" customFormat="1" x14ac:dyDescent="0.2">
      <c r="A9" s="120" t="s">
        <v>257</v>
      </c>
      <c r="B9" s="120"/>
      <c r="C9" s="120"/>
      <c r="D9" s="120"/>
      <c r="E9" s="120"/>
      <c r="F9" s="120"/>
      <c r="G9" s="120"/>
      <c r="H9" s="120"/>
      <c r="I9" s="4"/>
      <c r="J9" s="4"/>
      <c r="K9" s="4"/>
      <c r="L9" s="4"/>
      <c r="M9" s="4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</row>
    <row r="10" spans="1:47" s="38" customFormat="1" ht="25.5" x14ac:dyDescent="0.2">
      <c r="A10" s="50" t="s">
        <v>18</v>
      </c>
      <c r="B10" s="109" t="s">
        <v>33</v>
      </c>
      <c r="C10" s="109"/>
      <c r="D10" s="50" t="s">
        <v>236</v>
      </c>
      <c r="E10" s="50" t="s">
        <v>221</v>
      </c>
      <c r="F10" s="50" t="s">
        <v>258</v>
      </c>
      <c r="G10" s="72" t="s">
        <v>259</v>
      </c>
      <c r="H10" s="50" t="s">
        <v>255</v>
      </c>
      <c r="I10" s="4"/>
      <c r="J10" s="4"/>
      <c r="K10" s="4"/>
      <c r="L10" s="4"/>
      <c r="M10" s="4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</row>
    <row r="11" spans="1:47" s="38" customFormat="1" x14ac:dyDescent="0.2">
      <c r="A11" s="59">
        <v>5</v>
      </c>
      <c r="B11" s="134" t="str">
        <f>VLOOKUP(A11,Insumos!$A$3:$E$28,3, )</f>
        <v>Capa de chuva</v>
      </c>
      <c r="C11" s="134"/>
      <c r="D11" s="59">
        <v>3</v>
      </c>
      <c r="E11" s="49">
        <f>VLOOKUP(A11,Insumos!$A$3:$E$28,5, )</f>
        <v>103.9</v>
      </c>
      <c r="F11" s="59">
        <v>12</v>
      </c>
      <c r="G11" s="49">
        <f t="shared" ref="G11:G25" si="0">ROUND((D11*E11*$H$37)/F11,2)</f>
        <v>3.55</v>
      </c>
      <c r="H11" s="49">
        <f t="shared" ref="H11:H25" si="1">ROUND((E11/F11*D11)+G11,2)</f>
        <v>29.53</v>
      </c>
      <c r="I11" s="4"/>
      <c r="J11" s="4"/>
      <c r="K11" s="4"/>
      <c r="L11" s="4"/>
      <c r="M11" s="4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</row>
    <row r="12" spans="1:47" s="38" customFormat="1" x14ac:dyDescent="0.2">
      <c r="A12" s="59">
        <v>7</v>
      </c>
      <c r="B12" s="134" t="str">
        <f>VLOOKUP(A12,Insumos!$A$3:$E$28,3, )</f>
        <v>Capacete para motociclista</v>
      </c>
      <c r="C12" s="134"/>
      <c r="D12" s="59">
        <v>1</v>
      </c>
      <c r="E12" s="49">
        <f>VLOOKUP(A12,Insumos!$A$3:$E$28,5, )</f>
        <v>412.53</v>
      </c>
      <c r="F12" s="59">
        <v>12</v>
      </c>
      <c r="G12" s="49">
        <f t="shared" si="0"/>
        <v>4.6900000000000004</v>
      </c>
      <c r="H12" s="49">
        <f t="shared" si="1"/>
        <v>39.07</v>
      </c>
      <c r="I12" s="4"/>
      <c r="J12" s="4"/>
      <c r="K12" s="4"/>
      <c r="L12" s="4"/>
      <c r="M12" s="4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</row>
    <row r="13" spans="1:47" s="38" customFormat="1" x14ac:dyDescent="0.2">
      <c r="A13" s="59">
        <v>9</v>
      </c>
      <c r="B13" s="134" t="str">
        <f>VLOOKUP(A13,Insumos!$A$3:$E$28,3, )</f>
        <v>Cofre para arma</v>
      </c>
      <c r="C13" s="134"/>
      <c r="D13" s="59">
        <v>2</v>
      </c>
      <c r="E13" s="49">
        <f>VLOOKUP(A13,Insumos!$A$3:$E$28,5, )</f>
        <v>319.5</v>
      </c>
      <c r="F13" s="59">
        <v>60</v>
      </c>
      <c r="G13" s="49">
        <f t="shared" si="0"/>
        <v>1.45</v>
      </c>
      <c r="H13" s="49">
        <f t="shared" si="1"/>
        <v>12.1</v>
      </c>
      <c r="I13" s="4"/>
      <c r="J13" s="4"/>
      <c r="K13" s="4"/>
      <c r="L13" s="4"/>
      <c r="M13" s="4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</row>
    <row r="14" spans="1:47" s="38" customFormat="1" x14ac:dyDescent="0.2">
      <c r="A14" s="59">
        <v>10</v>
      </c>
      <c r="B14" s="134" t="str">
        <f>VLOOKUP(A14,Insumos!$A$3:$E$28,3, )</f>
        <v>Coldre para revólver calibre 38</v>
      </c>
      <c r="C14" s="134"/>
      <c r="D14" s="59">
        <v>3</v>
      </c>
      <c r="E14" s="49">
        <f>VLOOKUP(A14,Insumos!$A$3:$E$28,5, )</f>
        <v>51.84</v>
      </c>
      <c r="F14" s="59">
        <v>60</v>
      </c>
      <c r="G14" s="49">
        <f t="shared" si="0"/>
        <v>0.35</v>
      </c>
      <c r="H14" s="49">
        <f t="shared" si="1"/>
        <v>2.94</v>
      </c>
      <c r="I14" s="4"/>
      <c r="J14" s="4"/>
      <c r="K14" s="4"/>
      <c r="L14" s="4"/>
      <c r="M14" s="4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</row>
    <row r="15" spans="1:47" s="38" customFormat="1" x14ac:dyDescent="0.2">
      <c r="A15" s="59">
        <v>11</v>
      </c>
      <c r="B15" s="134" t="str">
        <f>VLOOKUP(A15,Insumos!$A$3:$E$28,3, )</f>
        <v>Colete balístico</v>
      </c>
      <c r="C15" s="134"/>
      <c r="D15" s="59">
        <v>3</v>
      </c>
      <c r="E15" s="49">
        <f>VLOOKUP(A15,Insumos!$A$3:$E$28,5, )</f>
        <v>1354.51</v>
      </c>
      <c r="F15" s="59">
        <v>60</v>
      </c>
      <c r="G15" s="49">
        <f t="shared" si="0"/>
        <v>9.24</v>
      </c>
      <c r="H15" s="49">
        <f t="shared" si="1"/>
        <v>76.97</v>
      </c>
      <c r="I15" s="4"/>
      <c r="J15" s="4"/>
      <c r="K15" s="4"/>
      <c r="L15" s="4"/>
      <c r="M15" s="4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</row>
    <row r="16" spans="1:47" s="38" customFormat="1" x14ac:dyDescent="0.2">
      <c r="A16" s="59">
        <v>14</v>
      </c>
      <c r="B16" s="134" t="str">
        <f>VLOOKUP(A16,Insumos!$A$3:$E$28,3, )</f>
        <v>Guarda-chuva</v>
      </c>
      <c r="C16" s="134"/>
      <c r="D16" s="59">
        <v>3</v>
      </c>
      <c r="E16" s="49">
        <f>VLOOKUP(A16,Insumos!$A$3:$E$28,5, )</f>
        <v>64.5</v>
      </c>
      <c r="F16" s="59">
        <v>12</v>
      </c>
      <c r="G16" s="49">
        <f t="shared" si="0"/>
        <v>2.2000000000000002</v>
      </c>
      <c r="H16" s="49">
        <f t="shared" si="1"/>
        <v>18.329999999999998</v>
      </c>
      <c r="I16" s="4"/>
      <c r="J16" s="4"/>
      <c r="K16" s="4"/>
      <c r="L16" s="4"/>
      <c r="M16" s="4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</row>
    <row r="17" spans="1:47" s="38" customFormat="1" x14ac:dyDescent="0.2">
      <c r="A17" s="59">
        <v>16</v>
      </c>
      <c r="B17" s="134" t="str">
        <f>VLOOKUP(A17,Insumos!$A$3:$E$28,3, )</f>
        <v>Lanterna</v>
      </c>
      <c r="C17" s="134"/>
      <c r="D17" s="59">
        <v>3</v>
      </c>
      <c r="E17" s="49">
        <f>VLOOKUP(A17,Insumos!$A$3:$E$28,5, )</f>
        <v>63.7</v>
      </c>
      <c r="F17" s="59">
        <v>12</v>
      </c>
      <c r="G17" s="49">
        <f t="shared" si="0"/>
        <v>2.17</v>
      </c>
      <c r="H17" s="49">
        <f t="shared" si="1"/>
        <v>18.100000000000001</v>
      </c>
      <c r="I17" s="4"/>
      <c r="J17" s="4"/>
      <c r="K17" s="4"/>
      <c r="L17" s="4"/>
      <c r="M17" s="4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</row>
    <row r="18" spans="1:47" s="38" customFormat="1" x14ac:dyDescent="0.2">
      <c r="A18" s="59">
        <v>17</v>
      </c>
      <c r="B18" s="134" t="str">
        <f>VLOOKUP(A18,Insumos!$A$3:$E$28,3, )</f>
        <v>Livro de ocorrências</v>
      </c>
      <c r="C18" s="134"/>
      <c r="D18" s="59">
        <v>24</v>
      </c>
      <c r="E18" s="49">
        <f>VLOOKUP(A18,Insumos!$A$3:$E$28,5, )</f>
        <v>15.16</v>
      </c>
      <c r="F18" s="59">
        <v>12</v>
      </c>
      <c r="G18" s="49">
        <f t="shared" si="0"/>
        <v>4.1399999999999997</v>
      </c>
      <c r="H18" s="49">
        <f t="shared" si="1"/>
        <v>34.46</v>
      </c>
      <c r="I18" s="4"/>
      <c r="J18" s="4"/>
      <c r="K18" s="4"/>
      <c r="L18" s="4"/>
      <c r="M18" s="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</row>
    <row r="19" spans="1:47" s="38" customFormat="1" x14ac:dyDescent="0.2">
      <c r="A19" s="59">
        <v>18</v>
      </c>
      <c r="B19" s="134" t="str">
        <f>VLOOKUP(A19,Insumos!$A$3:$E$28,3, )</f>
        <v>Motocicleta</v>
      </c>
      <c r="C19" s="134"/>
      <c r="D19" s="59">
        <v>1</v>
      </c>
      <c r="E19" s="49">
        <f>VLOOKUP(A19,Insumos!$A$3:$E$28,5, )</f>
        <v>17213.330000000002</v>
      </c>
      <c r="F19" s="59">
        <v>60</v>
      </c>
      <c r="G19" s="49">
        <f t="shared" si="0"/>
        <v>39.159999999999997</v>
      </c>
      <c r="H19" s="49">
        <f t="shared" si="1"/>
        <v>326.05</v>
      </c>
      <c r="I19" s="4"/>
      <c r="J19" s="4"/>
      <c r="K19" s="4"/>
      <c r="L19" s="4"/>
      <c r="M19" s="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</row>
    <row r="20" spans="1:47" s="38" customFormat="1" x14ac:dyDescent="0.2">
      <c r="A20" s="59">
        <v>19</v>
      </c>
      <c r="B20" s="134" t="str">
        <f>VLOOKUP(A20,Insumos!$A$3:$E$28,3, )</f>
        <v>Munição para revólver calibre 38</v>
      </c>
      <c r="C20" s="134"/>
      <c r="D20" s="59">
        <v>6</v>
      </c>
      <c r="E20" s="49">
        <f>VLOOKUP(A20,Insumos!$A$3:$E$28,5, )</f>
        <v>78.39</v>
      </c>
      <c r="F20" s="59">
        <v>12</v>
      </c>
      <c r="G20" s="49">
        <f t="shared" si="0"/>
        <v>5.35</v>
      </c>
      <c r="H20" s="49">
        <f t="shared" si="1"/>
        <v>44.55</v>
      </c>
      <c r="I20" s="4"/>
      <c r="J20" s="4"/>
      <c r="K20" s="4"/>
      <c r="L20" s="4"/>
      <c r="M20" s="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</row>
    <row r="21" spans="1:47" s="38" customFormat="1" x14ac:dyDescent="0.2">
      <c r="A21" s="59">
        <v>20</v>
      </c>
      <c r="B21" s="134" t="str">
        <f>VLOOKUP(A21,Insumos!$A$3:$E$28,3, )</f>
        <v>Porta tonfa</v>
      </c>
      <c r="C21" s="134"/>
      <c r="D21" s="59">
        <v>3</v>
      </c>
      <c r="E21" s="49">
        <f>VLOOKUP(A21,Insumos!$A$3:$E$28,5, )</f>
        <v>28.14</v>
      </c>
      <c r="F21" s="59">
        <v>60</v>
      </c>
      <c r="G21" s="49">
        <f t="shared" si="0"/>
        <v>0.19</v>
      </c>
      <c r="H21" s="49">
        <f t="shared" si="1"/>
        <v>1.6</v>
      </c>
      <c r="I21" s="4"/>
      <c r="J21" s="4"/>
      <c r="K21" s="4"/>
      <c r="L21" s="4"/>
      <c r="M21" s="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</row>
    <row r="22" spans="1:47" s="38" customFormat="1" x14ac:dyDescent="0.2">
      <c r="A22" s="59">
        <v>22</v>
      </c>
      <c r="B22" s="134" t="str">
        <f>VLOOKUP(A22,Insumos!$A$3:$E$28,3, )</f>
        <v>Rádios UHF/VHF</v>
      </c>
      <c r="C22" s="134"/>
      <c r="D22" s="59">
        <v>3</v>
      </c>
      <c r="E22" s="49">
        <f>VLOOKUP(A22,Insumos!$A$3:$E$28,5, )</f>
        <v>1074.9100000000001</v>
      </c>
      <c r="F22" s="59">
        <v>60</v>
      </c>
      <c r="G22" s="49">
        <f t="shared" si="0"/>
        <v>7.34</v>
      </c>
      <c r="H22" s="49">
        <f t="shared" si="1"/>
        <v>61.09</v>
      </c>
      <c r="I22" s="4"/>
      <c r="J22" s="4"/>
      <c r="K22" s="4"/>
      <c r="L22" s="4"/>
      <c r="M22" s="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</row>
    <row r="23" spans="1:47" s="38" customFormat="1" x14ac:dyDescent="0.2">
      <c r="A23" s="59">
        <v>23</v>
      </c>
      <c r="B23" s="134" t="str">
        <f>VLOOKUP(A23,Insumos!$A$3:$E$28,3, )</f>
        <v>Revólver calibre 38</v>
      </c>
      <c r="C23" s="134"/>
      <c r="D23" s="59">
        <v>3</v>
      </c>
      <c r="E23" s="49">
        <f>VLOOKUP(A23,Insumos!$A$3:$E$28,5, )</f>
        <v>4487.47</v>
      </c>
      <c r="F23" s="59">
        <v>60</v>
      </c>
      <c r="G23" s="49">
        <f t="shared" si="0"/>
        <v>30.63</v>
      </c>
      <c r="H23" s="49">
        <f t="shared" si="1"/>
        <v>255</v>
      </c>
      <c r="I23" s="4"/>
      <c r="J23" s="4"/>
      <c r="K23" s="4"/>
      <c r="L23" s="4"/>
      <c r="M23" s="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</row>
    <row r="24" spans="1:47" s="38" customFormat="1" x14ac:dyDescent="0.2">
      <c r="A24" s="59">
        <v>25</v>
      </c>
      <c r="B24" s="134" t="str">
        <f>VLOOKUP(A24,Insumos!$A$3:$E$28,3, )</f>
        <v>Sistema de controle de rondas</v>
      </c>
      <c r="C24" s="134"/>
      <c r="D24" s="59">
        <v>3</v>
      </c>
      <c r="E24" s="49">
        <f>VLOOKUP(A24,Insumos!$A$3:$E$28,5, )</f>
        <v>947.74</v>
      </c>
      <c r="F24" s="59">
        <v>60</v>
      </c>
      <c r="G24" s="49">
        <f t="shared" si="0"/>
        <v>6.47</v>
      </c>
      <c r="H24" s="49">
        <f t="shared" si="1"/>
        <v>53.86</v>
      </c>
      <c r="I24" s="4"/>
      <c r="J24" s="4"/>
      <c r="K24" s="4"/>
      <c r="L24" s="4"/>
      <c r="M24" s="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</row>
    <row r="25" spans="1:47" s="38" customFormat="1" x14ac:dyDescent="0.2">
      <c r="A25" s="59">
        <v>26</v>
      </c>
      <c r="B25" s="134" t="str">
        <f>VLOOKUP(A25,Insumos!$A$3:$E$28,3, )</f>
        <v>Tonfa</v>
      </c>
      <c r="C25" s="134"/>
      <c r="D25" s="59">
        <v>3</v>
      </c>
      <c r="E25" s="49">
        <f>VLOOKUP(A25,Insumos!$A$3:$E$28,5, )</f>
        <v>24.94</v>
      </c>
      <c r="F25" s="59">
        <v>60</v>
      </c>
      <c r="G25" s="49">
        <f t="shared" si="0"/>
        <v>0.17</v>
      </c>
      <c r="H25" s="49">
        <f t="shared" si="1"/>
        <v>1.42</v>
      </c>
      <c r="I25" s="4"/>
      <c r="J25" s="4"/>
      <c r="K25" s="4"/>
      <c r="L25" s="4"/>
      <c r="M25" s="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</row>
    <row r="26" spans="1:47" s="38" customFormat="1" x14ac:dyDescent="0.2">
      <c r="A26" s="109" t="s">
        <v>260</v>
      </c>
      <c r="B26" s="109"/>
      <c r="C26" s="109"/>
      <c r="D26" s="109"/>
      <c r="E26" s="109"/>
      <c r="F26" s="109"/>
      <c r="G26" s="109"/>
      <c r="H26" s="58">
        <f>SUM(H11:H25)</f>
        <v>975.06999999999994</v>
      </c>
      <c r="I26" s="4"/>
      <c r="J26" s="4"/>
      <c r="K26" s="4"/>
      <c r="L26" s="4"/>
      <c r="M26" s="4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</row>
    <row r="27" spans="1:47" s="38" customFormat="1" x14ac:dyDescent="0.2">
      <c r="A27" s="136"/>
      <c r="B27" s="136"/>
      <c r="C27" s="136"/>
      <c r="D27" s="136"/>
      <c r="E27" s="136"/>
      <c r="F27" s="136"/>
      <c r="G27" s="136"/>
      <c r="H27" s="136"/>
      <c r="I27" s="4"/>
      <c r="J27" s="4"/>
      <c r="K27" s="4"/>
      <c r="L27" s="4"/>
      <c r="M27" s="4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</row>
    <row r="28" spans="1:47" s="38" customFormat="1" ht="22.35" customHeight="1" x14ac:dyDescent="0.2">
      <c r="A28" s="7" t="s">
        <v>18</v>
      </c>
      <c r="B28" s="137" t="s">
        <v>20</v>
      </c>
      <c r="C28" s="137"/>
      <c r="D28" s="137"/>
      <c r="E28" s="137" t="s">
        <v>21</v>
      </c>
      <c r="F28" s="137"/>
      <c r="G28" s="7" t="s">
        <v>261</v>
      </c>
      <c r="H28" s="7" t="s">
        <v>262</v>
      </c>
      <c r="I28" s="4"/>
      <c r="J28" s="4"/>
      <c r="K28" s="4"/>
      <c r="L28" s="4"/>
      <c r="M28" s="4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</row>
    <row r="29" spans="1:47" s="38" customFormat="1" x14ac:dyDescent="0.2">
      <c r="A29" s="26">
        <v>1</v>
      </c>
      <c r="B29" s="138" t="s">
        <v>263</v>
      </c>
      <c r="C29" s="138"/>
      <c r="D29" s="138"/>
      <c r="E29" s="139">
        <f>'2'!G20</f>
        <v>2</v>
      </c>
      <c r="F29" s="139"/>
      <c r="G29" s="40">
        <f>'2'!G21</f>
        <v>2</v>
      </c>
      <c r="H29" s="40">
        <f>E29*G29</f>
        <v>4</v>
      </c>
      <c r="I29" s="4"/>
      <c r="J29" s="4"/>
      <c r="K29" s="4"/>
      <c r="L29" s="4"/>
      <c r="M29" s="4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</row>
    <row r="30" spans="1:47" s="38" customFormat="1" x14ac:dyDescent="0.2">
      <c r="A30" s="26">
        <v>2</v>
      </c>
      <c r="B30" s="138" t="s">
        <v>83</v>
      </c>
      <c r="C30" s="138"/>
      <c r="D30" s="138"/>
      <c r="E30" s="139">
        <f>'1'!G20</f>
        <v>1</v>
      </c>
      <c r="F30" s="139"/>
      <c r="G30" s="40">
        <f>'1'!G21</f>
        <v>2</v>
      </c>
      <c r="H30" s="40">
        <f>E30*G30</f>
        <v>2</v>
      </c>
      <c r="I30" s="4"/>
      <c r="J30" s="4"/>
      <c r="K30" s="4"/>
      <c r="L30" s="4"/>
      <c r="M30" s="4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</row>
    <row r="31" spans="1:47" s="38" customFormat="1" x14ac:dyDescent="0.2">
      <c r="A31" s="26">
        <v>3</v>
      </c>
      <c r="B31" s="138" t="s">
        <v>250</v>
      </c>
      <c r="C31" s="138"/>
      <c r="D31" s="138"/>
      <c r="E31" s="139">
        <f>'4'!G20</f>
        <v>2</v>
      </c>
      <c r="F31" s="139"/>
      <c r="G31" s="40">
        <f>'4'!G21</f>
        <v>2</v>
      </c>
      <c r="H31" s="40">
        <f>E31*G31</f>
        <v>4</v>
      </c>
      <c r="I31" s="4"/>
      <c r="J31" s="4"/>
      <c r="K31" s="4"/>
      <c r="L31" s="4"/>
      <c r="M31" s="4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</row>
    <row r="32" spans="1:47" s="38" customFormat="1" x14ac:dyDescent="0.2">
      <c r="A32" s="26">
        <v>4</v>
      </c>
      <c r="B32" s="138" t="s">
        <v>249</v>
      </c>
      <c r="C32" s="138"/>
      <c r="D32" s="138"/>
      <c r="E32" s="139">
        <f>'3'!G20</f>
        <v>1</v>
      </c>
      <c r="F32" s="139"/>
      <c r="G32" s="40">
        <f>'3'!G21</f>
        <v>2</v>
      </c>
      <c r="H32" s="40">
        <f>E32*G32</f>
        <v>2</v>
      </c>
      <c r="I32" s="4"/>
      <c r="J32" s="4"/>
      <c r="K32" s="4"/>
      <c r="L32" s="4"/>
      <c r="M32" s="4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</row>
    <row r="33" spans="1:47" s="38" customFormat="1" x14ac:dyDescent="0.2">
      <c r="A33" s="109" t="s">
        <v>264</v>
      </c>
      <c r="B33" s="109"/>
      <c r="C33" s="109"/>
      <c r="D33" s="109"/>
      <c r="E33" s="109"/>
      <c r="F33" s="109"/>
      <c r="G33" s="109"/>
      <c r="H33" s="50">
        <f>SUM(H29:H32)</f>
        <v>12</v>
      </c>
      <c r="I33" s="4"/>
      <c r="J33" s="4"/>
      <c r="K33" s="4"/>
      <c r="L33" s="4"/>
      <c r="M33" s="4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</row>
    <row r="34" spans="1:47" x14ac:dyDescent="0.2">
      <c r="A34" s="140"/>
      <c r="B34" s="140"/>
      <c r="C34" s="140"/>
      <c r="D34" s="140"/>
      <c r="E34" s="140"/>
      <c r="F34" s="140"/>
      <c r="G34" s="140"/>
      <c r="H34" s="140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</row>
    <row r="35" spans="1:47" s="38" customFormat="1" x14ac:dyDescent="0.2">
      <c r="A35" s="109" t="s">
        <v>239</v>
      </c>
      <c r="B35" s="109"/>
      <c r="C35" s="109"/>
      <c r="D35" s="109"/>
      <c r="E35" s="109"/>
      <c r="F35" s="109"/>
      <c r="G35" s="109"/>
      <c r="H35" s="58">
        <f>ROUND(H26/H33,2)</f>
        <v>81.260000000000005</v>
      </c>
      <c r="I35" s="4"/>
      <c r="J35" s="4"/>
      <c r="K35" s="4"/>
      <c r="L35" s="4"/>
      <c r="M35" s="4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</row>
    <row r="36" spans="1:47" s="38" customFormat="1" x14ac:dyDescent="0.2">
      <c r="A36" s="140"/>
      <c r="B36" s="140"/>
      <c r="C36" s="140"/>
      <c r="D36" s="140"/>
      <c r="E36" s="140"/>
      <c r="F36" s="140"/>
      <c r="G36" s="140"/>
      <c r="H36" s="140"/>
      <c r="I36" s="4"/>
      <c r="J36" s="4"/>
      <c r="K36" s="4"/>
      <c r="L36" s="4"/>
      <c r="M36" s="4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</row>
    <row r="37" spans="1:47" s="38" customFormat="1" ht="25.5" x14ac:dyDescent="0.2">
      <c r="A37" s="141" t="s">
        <v>265</v>
      </c>
      <c r="B37" s="141"/>
      <c r="C37" s="141"/>
      <c r="D37" s="141"/>
      <c r="E37" s="141"/>
      <c r="F37" s="141"/>
      <c r="G37" s="74" t="s">
        <v>266</v>
      </c>
      <c r="H37" s="75">
        <v>0.13650000000000001</v>
      </c>
      <c r="I37" s="4"/>
      <c r="J37" s="4"/>
      <c r="K37" s="4"/>
      <c r="L37" s="4"/>
      <c r="M37" s="4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</row>
    <row r="38" spans="1:47" s="38" customFormat="1" hidden="1" x14ac:dyDescent="0.2">
      <c r="A38" s="20"/>
      <c r="B38" s="20"/>
      <c r="C38" s="20"/>
      <c r="D38" s="20"/>
      <c r="E38" s="20"/>
      <c r="F38" s="20"/>
      <c r="G38" s="21"/>
      <c r="H38" s="22"/>
      <c r="I38" s="4"/>
      <c r="J38" s="4"/>
      <c r="K38" s="4"/>
      <c r="L38" s="4"/>
      <c r="M38" s="4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</row>
    <row r="39" spans="1:47" s="38" customFormat="1" hidden="1" x14ac:dyDescent="0.2">
      <c r="A39" s="20"/>
      <c r="B39" s="20"/>
      <c r="C39" s="20"/>
      <c r="D39" s="20"/>
      <c r="E39" s="20"/>
      <c r="F39" s="20"/>
      <c r="G39" s="21"/>
      <c r="H39" s="22"/>
      <c r="I39" s="4"/>
      <c r="J39" s="4"/>
      <c r="K39" s="4"/>
      <c r="L39" s="4"/>
      <c r="M39" s="4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</row>
    <row r="40" spans="1:47" s="38" customFormat="1" hidden="1" x14ac:dyDescent="0.2">
      <c r="A40" s="20"/>
      <c r="B40" s="20"/>
      <c r="C40" s="20"/>
      <c r="D40" s="20"/>
      <c r="E40" s="20"/>
      <c r="F40" s="20"/>
      <c r="G40" s="21"/>
      <c r="H40" s="22"/>
      <c r="I40" s="4"/>
      <c r="J40" s="4"/>
      <c r="K40" s="4"/>
      <c r="L40" s="4"/>
      <c r="M40" s="4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</row>
    <row r="41" spans="1:47" s="38" customFormat="1" hidden="1" x14ac:dyDescent="0.2">
      <c r="A41" s="20"/>
      <c r="B41" s="20"/>
      <c r="C41" s="20"/>
      <c r="D41" s="20"/>
      <c r="E41" s="20"/>
      <c r="F41" s="20"/>
      <c r="G41" s="21"/>
      <c r="H41" s="22"/>
      <c r="I41" s="4"/>
      <c r="J41" s="4"/>
      <c r="K41" s="4"/>
      <c r="L41" s="4"/>
      <c r="M41" s="4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</row>
    <row r="42" spans="1:47" s="38" customFormat="1" hidden="1" x14ac:dyDescent="0.2">
      <c r="A42" s="20"/>
      <c r="B42" s="20"/>
      <c r="C42" s="20"/>
      <c r="D42" s="20"/>
      <c r="E42" s="20"/>
      <c r="F42" s="20"/>
      <c r="G42" s="21"/>
      <c r="H42" s="22"/>
      <c r="I42" s="4"/>
      <c r="J42" s="4"/>
      <c r="K42" s="4"/>
      <c r="L42" s="4"/>
      <c r="M42" s="4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</row>
    <row r="43" spans="1:47" s="38" customFormat="1" hidden="1" x14ac:dyDescent="0.2">
      <c r="A43" s="20"/>
      <c r="B43" s="20"/>
      <c r="C43" s="20"/>
      <c r="D43" s="20"/>
      <c r="E43" s="20"/>
      <c r="F43" s="20"/>
      <c r="G43" s="21"/>
      <c r="H43" s="22"/>
      <c r="I43" s="4"/>
      <c r="J43" s="4"/>
      <c r="K43" s="4"/>
      <c r="L43" s="4"/>
      <c r="M43" s="4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</row>
    <row r="44" spans="1:47" s="38" customFormat="1" hidden="1" x14ac:dyDescent="0.2">
      <c r="A44" s="20"/>
      <c r="B44" s="20"/>
      <c r="C44" s="20"/>
      <c r="D44" s="20"/>
      <c r="E44" s="20"/>
      <c r="F44" s="20"/>
      <c r="G44" s="21"/>
      <c r="H44" s="22"/>
      <c r="I44" s="4"/>
      <c r="J44" s="4"/>
      <c r="K44" s="4"/>
      <c r="L44" s="4"/>
      <c r="M44" s="4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</row>
    <row r="45" spans="1:47" s="38" customFormat="1" hidden="1" x14ac:dyDescent="0.2">
      <c r="A45" s="20"/>
      <c r="B45" s="20"/>
      <c r="C45" s="20"/>
      <c r="D45" s="20"/>
      <c r="E45" s="20"/>
      <c r="F45" s="20"/>
      <c r="G45" s="21"/>
      <c r="H45" s="22"/>
      <c r="I45" s="4"/>
      <c r="J45" s="4"/>
      <c r="K45" s="4"/>
      <c r="L45" s="4"/>
      <c r="M45" s="4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</row>
    <row r="46" spans="1:47" s="38" customFormat="1" hidden="1" x14ac:dyDescent="0.2">
      <c r="A46" s="20"/>
      <c r="B46" s="20"/>
      <c r="C46" s="20"/>
      <c r="D46" s="20"/>
      <c r="E46" s="20"/>
      <c r="F46" s="20"/>
      <c r="G46" s="21"/>
      <c r="H46" s="22"/>
      <c r="I46" s="4"/>
      <c r="J46" s="4"/>
      <c r="K46" s="4"/>
      <c r="L46" s="4"/>
      <c r="M46" s="4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</row>
    <row r="47" spans="1:47" s="38" customFormat="1" hidden="1" x14ac:dyDescent="0.2">
      <c r="A47" s="20"/>
      <c r="B47" s="20"/>
      <c r="C47" s="20"/>
      <c r="D47" s="20"/>
      <c r="E47" s="20"/>
      <c r="F47" s="20"/>
      <c r="G47" s="21"/>
      <c r="H47" s="22"/>
      <c r="I47" s="4"/>
      <c r="J47" s="4"/>
      <c r="K47" s="4"/>
      <c r="L47" s="4"/>
      <c r="M47" s="4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</row>
    <row r="48" spans="1:47" s="38" customFormat="1" hidden="1" x14ac:dyDescent="0.2">
      <c r="A48" s="20"/>
      <c r="B48" s="20"/>
      <c r="C48" s="20"/>
      <c r="D48" s="20"/>
      <c r="E48" s="20"/>
      <c r="F48" s="20"/>
      <c r="G48" s="21"/>
      <c r="H48" s="22"/>
      <c r="I48" s="4"/>
      <c r="J48" s="4"/>
      <c r="K48" s="4"/>
      <c r="L48" s="4"/>
      <c r="M48" s="4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</row>
    <row r="49" spans="1:47" s="38" customFormat="1" hidden="1" x14ac:dyDescent="0.2">
      <c r="A49" s="20"/>
      <c r="B49" s="20"/>
      <c r="C49" s="20"/>
      <c r="D49" s="20"/>
      <c r="E49" s="20"/>
      <c r="F49" s="20"/>
      <c r="G49" s="21"/>
      <c r="H49" s="22"/>
      <c r="I49" s="4"/>
      <c r="J49" s="4"/>
      <c r="K49" s="4"/>
      <c r="L49" s="4"/>
      <c r="M49" s="4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</row>
  </sheetData>
  <mergeCells count="44">
    <mergeCell ref="A36:H36"/>
    <mergeCell ref="A37:F37"/>
    <mergeCell ref="B32:D32"/>
    <mergeCell ref="E32:F32"/>
    <mergeCell ref="A33:G33"/>
    <mergeCell ref="A34:H34"/>
    <mergeCell ref="A35:G35"/>
    <mergeCell ref="B29:D29"/>
    <mergeCell ref="E29:F29"/>
    <mergeCell ref="B30:D30"/>
    <mergeCell ref="E30:F30"/>
    <mergeCell ref="B31:D31"/>
    <mergeCell ref="E31:F31"/>
    <mergeCell ref="B24:C24"/>
    <mergeCell ref="B25:C25"/>
    <mergeCell ref="A26:G26"/>
    <mergeCell ref="A27:H27"/>
    <mergeCell ref="B28:D28"/>
    <mergeCell ref="E28:F28"/>
    <mergeCell ref="B19:C19"/>
    <mergeCell ref="B20:C20"/>
    <mergeCell ref="B21:C21"/>
    <mergeCell ref="B22:C22"/>
    <mergeCell ref="B23:C23"/>
    <mergeCell ref="B14:C14"/>
    <mergeCell ref="B15:C15"/>
    <mergeCell ref="B16:C16"/>
    <mergeCell ref="B17:C17"/>
    <mergeCell ref="B18:C18"/>
    <mergeCell ref="A9:H9"/>
    <mergeCell ref="B10:C10"/>
    <mergeCell ref="B11:C11"/>
    <mergeCell ref="B12:C12"/>
    <mergeCell ref="B13:C13"/>
    <mergeCell ref="A6:B6"/>
    <mergeCell ref="C6:H6"/>
    <mergeCell ref="A7:B7"/>
    <mergeCell ref="C7:H7"/>
    <mergeCell ref="A8:H8"/>
    <mergeCell ref="A1:H1"/>
    <mergeCell ref="A2:H2"/>
    <mergeCell ref="A3:H3"/>
    <mergeCell ref="A4:H4"/>
    <mergeCell ref="A5:H5"/>
  </mergeCells>
  <hyperlinks>
    <hyperlink ref="A37" r:id="rId1"/>
  </hyperlinks>
  <printOptions horizontalCentered="1"/>
  <pageMargins left="0.39374999999999999" right="0.39374999999999999" top="0.39374999999999999" bottom="0.39374999999999999" header="0.51180555555555496" footer="0.51180555555555496"/>
  <pageSetup paperSize="9" fitToHeight="0" orientation="landscape" useFirstPageNumber="1" horizontalDpi="300" verticalDpi="300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28"/>
  <sheetViews>
    <sheetView zoomScaleNormal="100" workbookViewId="0">
      <selection sqref="A1:F1"/>
    </sheetView>
  </sheetViews>
  <sheetFormatPr defaultColWidth="0" defaultRowHeight="12.75" zeroHeight="1" x14ac:dyDescent="0.2"/>
  <cols>
    <col min="1" max="1" width="5.5703125" style="20" customWidth="1"/>
    <col min="2" max="2" width="17.42578125" style="20" customWidth="1"/>
    <col min="3" max="3" width="19.5703125" style="20" customWidth="1"/>
    <col min="4" max="4" width="19.85546875" style="20" customWidth="1"/>
    <col min="5" max="5" width="16.42578125" style="20" customWidth="1"/>
    <col min="6" max="6" width="18.85546875" style="22" customWidth="1"/>
    <col min="7" max="7" width="0.5703125" style="3" customWidth="1"/>
    <col min="8" max="35" width="11.5703125" style="3" hidden="1" customWidth="1"/>
    <col min="36" max="16384" width="11.5703125" hidden="1"/>
  </cols>
  <sheetData>
    <row r="1" spans="1:1023" ht="15.75" x14ac:dyDescent="0.2">
      <c r="A1" s="107" t="s">
        <v>1</v>
      </c>
      <c r="B1" s="107"/>
      <c r="C1" s="107"/>
      <c r="D1" s="107"/>
      <c r="E1" s="107"/>
      <c r="F1" s="107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</row>
    <row r="2" spans="1:1023" ht="15.75" x14ac:dyDescent="0.2">
      <c r="A2" s="107" t="s">
        <v>2</v>
      </c>
      <c r="B2" s="107"/>
      <c r="C2" s="107"/>
      <c r="D2" s="107"/>
      <c r="E2" s="107"/>
      <c r="F2" s="107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</row>
    <row r="3" spans="1:1023" ht="15.75" x14ac:dyDescent="0.2">
      <c r="A3" s="107" t="s">
        <v>3</v>
      </c>
      <c r="B3" s="107"/>
      <c r="C3" s="107"/>
      <c r="D3" s="107"/>
      <c r="E3" s="107"/>
      <c r="F3" s="107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</row>
    <row r="4" spans="1:1023" ht="15.75" x14ac:dyDescent="0.2">
      <c r="A4" s="108"/>
      <c r="B4" s="108"/>
      <c r="C4" s="108"/>
      <c r="D4" s="108"/>
      <c r="E4" s="108"/>
      <c r="F4" s="108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</row>
    <row r="5" spans="1:1023" ht="15.75" x14ac:dyDescent="0.2">
      <c r="A5" s="107" t="s">
        <v>77</v>
      </c>
      <c r="B5" s="107"/>
      <c r="C5" s="107"/>
      <c r="D5" s="107"/>
      <c r="E5" s="107"/>
      <c r="F5" s="107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</row>
    <row r="6" spans="1:1023" s="38" customFormat="1" x14ac:dyDescent="0.2">
      <c r="A6" s="109" t="s">
        <v>78</v>
      </c>
      <c r="B6" s="109"/>
      <c r="C6" s="95" t="str">
        <f>'2'!C6</f>
        <v>23205.003378/2023-69</v>
      </c>
      <c r="D6" s="95"/>
      <c r="E6" s="95"/>
      <c r="F6" s="95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LX6"/>
      <c r="ALY6"/>
      <c r="ALZ6"/>
      <c r="AMA6"/>
      <c r="AMB6"/>
      <c r="AMC6"/>
      <c r="AMD6"/>
      <c r="AME6"/>
      <c r="AMF6"/>
      <c r="AMG6"/>
      <c r="AMH6"/>
      <c r="AMI6"/>
    </row>
    <row r="7" spans="1:1023" s="38" customFormat="1" x14ac:dyDescent="0.2">
      <c r="A7" s="109" t="s">
        <v>79</v>
      </c>
      <c r="B7" s="109"/>
      <c r="C7" s="95" t="str">
        <f>'2'!C7</f>
        <v>Pregão Eletrônico nº 03/2023</v>
      </c>
      <c r="D7" s="95"/>
      <c r="E7" s="95"/>
      <c r="F7" s="95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LZ7"/>
      <c r="AMA7"/>
      <c r="AMB7"/>
      <c r="AMC7"/>
      <c r="AMD7"/>
      <c r="AME7"/>
      <c r="AMF7"/>
      <c r="AMG7"/>
      <c r="AMH7"/>
      <c r="AMI7"/>
    </row>
    <row r="8" spans="1:1023" s="38" customFormat="1" x14ac:dyDescent="0.2">
      <c r="A8" s="110"/>
      <c r="B8" s="110"/>
      <c r="C8" s="110"/>
      <c r="D8" s="110"/>
      <c r="E8" s="110"/>
      <c r="F8" s="110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LZ8"/>
      <c r="AMA8"/>
      <c r="AMB8"/>
      <c r="AMC8"/>
      <c r="AMD8"/>
      <c r="AME8"/>
      <c r="AMF8"/>
      <c r="AMG8"/>
      <c r="AMH8"/>
      <c r="AMI8"/>
    </row>
    <row r="9" spans="1:1023" s="38" customFormat="1" x14ac:dyDescent="0.2">
      <c r="A9" s="120" t="s">
        <v>267</v>
      </c>
      <c r="B9" s="120"/>
      <c r="C9" s="120"/>
      <c r="D9" s="120"/>
      <c r="E9" s="120"/>
      <c r="F9" s="120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LZ9"/>
      <c r="AMA9"/>
      <c r="AMB9"/>
      <c r="AMC9"/>
      <c r="AMD9"/>
      <c r="AME9"/>
      <c r="AMF9"/>
      <c r="AMG9"/>
      <c r="AMH9"/>
      <c r="AMI9"/>
    </row>
    <row r="10" spans="1:1023" s="38" customFormat="1" x14ac:dyDescent="0.2">
      <c r="A10" s="135" t="s">
        <v>268</v>
      </c>
      <c r="B10" s="135"/>
      <c r="C10" s="135"/>
      <c r="D10" s="135"/>
      <c r="E10" s="135"/>
      <c r="F10" s="40">
        <v>24</v>
      </c>
      <c r="ALZ10"/>
      <c r="AMA10"/>
      <c r="AMB10"/>
      <c r="AMC10"/>
      <c r="AMD10"/>
      <c r="AME10"/>
      <c r="AMF10"/>
      <c r="AMG10"/>
      <c r="AMH10"/>
      <c r="AMI10"/>
    </row>
    <row r="11" spans="1:1023" s="38" customFormat="1" x14ac:dyDescent="0.2">
      <c r="A11" s="135" t="s">
        <v>269</v>
      </c>
      <c r="B11" s="135"/>
      <c r="C11" s="135"/>
      <c r="D11" s="135"/>
      <c r="E11" s="135"/>
      <c r="F11" s="40">
        <f>F10*30</f>
        <v>720</v>
      </c>
      <c r="ALZ11"/>
      <c r="AMA11"/>
      <c r="AMB11"/>
      <c r="AMC11"/>
      <c r="AMD11"/>
      <c r="AME11"/>
      <c r="AMF11"/>
      <c r="AMG11"/>
      <c r="AMH11"/>
      <c r="AMI11"/>
    </row>
    <row r="12" spans="1:1023" s="38" customFormat="1" x14ac:dyDescent="0.2">
      <c r="A12" s="135" t="s">
        <v>270</v>
      </c>
      <c r="B12" s="135"/>
      <c r="C12" s="135"/>
      <c r="D12" s="135"/>
      <c r="E12" s="135"/>
      <c r="F12" s="76">
        <v>4.5</v>
      </c>
      <c r="ALZ12"/>
      <c r="AMA12"/>
      <c r="AMB12"/>
      <c r="AMC12"/>
      <c r="AMD12"/>
      <c r="AME12"/>
      <c r="AMF12"/>
      <c r="AMG12"/>
      <c r="AMH12"/>
      <c r="AMI12"/>
    </row>
    <row r="13" spans="1:1023" s="38" customFormat="1" x14ac:dyDescent="0.2">
      <c r="A13" s="135" t="s">
        <v>271</v>
      </c>
      <c r="B13" s="135"/>
      <c r="C13" s="135"/>
      <c r="D13" s="135"/>
      <c r="E13" s="135"/>
      <c r="F13" s="40">
        <f>F11*F12</f>
        <v>3240</v>
      </c>
      <c r="ALZ13"/>
      <c r="AMA13"/>
      <c r="AMB13"/>
      <c r="AMC13"/>
      <c r="AMD13"/>
      <c r="AME13"/>
      <c r="AMF13"/>
      <c r="AMG13"/>
      <c r="AMH13"/>
      <c r="AMI13"/>
    </row>
    <row r="14" spans="1:1023" s="38" customFormat="1" x14ac:dyDescent="0.2">
      <c r="A14" s="95" t="s">
        <v>272</v>
      </c>
      <c r="B14" s="95"/>
      <c r="C14" s="95"/>
      <c r="D14" s="95"/>
      <c r="E14" s="95"/>
      <c r="F14" s="40">
        <v>25</v>
      </c>
      <c r="ALZ14"/>
      <c r="AMA14"/>
      <c r="AMB14"/>
      <c r="AMC14"/>
      <c r="AMD14"/>
      <c r="AME14"/>
      <c r="AMF14"/>
      <c r="AMG14"/>
      <c r="AMH14"/>
      <c r="AMI14"/>
    </row>
    <row r="15" spans="1:1023" s="38" customFormat="1" x14ac:dyDescent="0.2">
      <c r="A15" s="95" t="s">
        <v>273</v>
      </c>
      <c r="B15" s="95"/>
      <c r="C15" s="95"/>
      <c r="D15" s="95"/>
      <c r="E15" s="95"/>
      <c r="F15" s="40">
        <f>F13/F14</f>
        <v>129.6</v>
      </c>
      <c r="ALZ15"/>
      <c r="AMA15"/>
      <c r="AMB15"/>
      <c r="AMC15"/>
      <c r="AMD15"/>
      <c r="AME15"/>
      <c r="AMF15"/>
      <c r="AMG15"/>
      <c r="AMH15"/>
      <c r="AMI15"/>
    </row>
    <row r="16" spans="1:1023" s="38" customFormat="1" x14ac:dyDescent="0.2">
      <c r="A16" s="136"/>
      <c r="B16" s="136"/>
      <c r="C16" s="136"/>
      <c r="D16" s="136"/>
      <c r="E16" s="136"/>
      <c r="F16" s="136"/>
      <c r="ALZ16"/>
      <c r="AMA16"/>
      <c r="AMB16"/>
      <c r="AMC16"/>
      <c r="AMD16"/>
      <c r="AME16"/>
      <c r="AMF16"/>
      <c r="AMG16"/>
      <c r="AMH16"/>
      <c r="AMI16"/>
    </row>
    <row r="17" spans="1:1023" s="38" customFormat="1" x14ac:dyDescent="0.2">
      <c r="A17" s="62" t="s">
        <v>18</v>
      </c>
      <c r="B17" s="120" t="s">
        <v>33</v>
      </c>
      <c r="C17" s="120"/>
      <c r="D17" s="62" t="s">
        <v>236</v>
      </c>
      <c r="E17" s="62" t="s">
        <v>221</v>
      </c>
      <c r="F17" s="62" t="s">
        <v>255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LZ17"/>
      <c r="AMA17"/>
      <c r="AMB17"/>
      <c r="AMC17"/>
      <c r="AMD17"/>
      <c r="AME17"/>
      <c r="AMF17"/>
      <c r="AMG17"/>
      <c r="AMH17"/>
      <c r="AMI17"/>
    </row>
    <row r="18" spans="1:1023" s="38" customFormat="1" x14ac:dyDescent="0.2">
      <c r="A18" s="59">
        <v>13</v>
      </c>
      <c r="B18" s="134" t="str">
        <f>VLOOKUP(A18,Insumos!$A$3:$E$28,3, )</f>
        <v>Gasolina</v>
      </c>
      <c r="C18" s="134"/>
      <c r="D18" s="40">
        <f>F15</f>
        <v>129.6</v>
      </c>
      <c r="E18" s="49">
        <f>VLOOKUP(A18,Insumos!$A$3:$E$28,5, )</f>
        <v>5.64</v>
      </c>
      <c r="F18" s="49">
        <f>D18*E18</f>
        <v>730.94399999999996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LZ18"/>
      <c r="AMA18"/>
      <c r="AMB18"/>
      <c r="AMC18"/>
      <c r="AMD18"/>
      <c r="AME18"/>
      <c r="AMF18"/>
      <c r="AMG18"/>
      <c r="AMH18"/>
      <c r="AMI18"/>
    </row>
    <row r="19" spans="1:1023" s="38" customFormat="1" x14ac:dyDescent="0.2">
      <c r="A19" s="136"/>
      <c r="B19" s="136"/>
      <c r="C19" s="136"/>
      <c r="D19" s="136"/>
      <c r="E19" s="136"/>
      <c r="F19" s="136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LZ19"/>
      <c r="AMA19"/>
      <c r="AMB19"/>
      <c r="AMC19"/>
      <c r="AMD19"/>
      <c r="AME19"/>
      <c r="AMF19"/>
      <c r="AMG19"/>
      <c r="AMH19"/>
      <c r="AMI19"/>
    </row>
    <row r="20" spans="1:1023" s="38" customFormat="1" x14ac:dyDescent="0.2">
      <c r="A20" s="109" t="s">
        <v>274</v>
      </c>
      <c r="B20" s="109"/>
      <c r="C20" s="109"/>
      <c r="D20" s="109"/>
      <c r="E20" s="109"/>
      <c r="F20" s="50">
        <f>'1'!G20+'3'!G20</f>
        <v>2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LZ20"/>
      <c r="AMA20"/>
      <c r="AMB20"/>
      <c r="AMC20"/>
      <c r="AMD20"/>
      <c r="AME20"/>
      <c r="AMF20"/>
      <c r="AMG20"/>
      <c r="AMH20"/>
      <c r="AMI20"/>
    </row>
    <row r="21" spans="1:1023" s="38" customFormat="1" x14ac:dyDescent="0.2">
      <c r="A21" s="109" t="s">
        <v>261</v>
      </c>
      <c r="B21" s="109"/>
      <c r="C21" s="109"/>
      <c r="D21" s="109"/>
      <c r="E21" s="109"/>
      <c r="F21" s="50">
        <v>2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LZ21"/>
      <c r="AMA21"/>
      <c r="AMB21"/>
      <c r="AMC21"/>
      <c r="AMD21"/>
      <c r="AME21"/>
      <c r="AMF21"/>
      <c r="AMG21"/>
      <c r="AMH21"/>
      <c r="AMI21"/>
    </row>
    <row r="22" spans="1:1023" s="38" customFormat="1" x14ac:dyDescent="0.2">
      <c r="A22" s="109" t="s">
        <v>239</v>
      </c>
      <c r="B22" s="109"/>
      <c r="C22" s="109"/>
      <c r="D22" s="109"/>
      <c r="E22" s="109"/>
      <c r="F22" s="58">
        <f>ROUND(F18/F20/F21,2)</f>
        <v>182.74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LZ22"/>
      <c r="AMA22"/>
      <c r="AMB22"/>
      <c r="AMC22"/>
      <c r="AMD22"/>
      <c r="AME22"/>
      <c r="AMF22"/>
      <c r="AMG22"/>
      <c r="AMH22"/>
      <c r="AMI22"/>
    </row>
    <row r="23" spans="1:1023" s="38" customFormat="1" hidden="1" x14ac:dyDescent="0.2">
      <c r="A23" s="20"/>
      <c r="B23" s="20"/>
      <c r="C23" s="20"/>
      <c r="D23" s="20"/>
      <c r="E23" s="20"/>
      <c r="F23" s="22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LX23"/>
      <c r="ALY23"/>
      <c r="ALZ23"/>
      <c r="AMA23"/>
      <c r="AMB23"/>
      <c r="AMC23"/>
      <c r="AMD23"/>
      <c r="AME23"/>
      <c r="AMF23"/>
      <c r="AMG23"/>
      <c r="AMH23"/>
      <c r="AMI23"/>
    </row>
    <row r="24" spans="1:1023" s="38" customFormat="1" hidden="1" x14ac:dyDescent="0.2">
      <c r="A24" s="20"/>
      <c r="B24" s="20"/>
      <c r="C24" s="20"/>
      <c r="D24" s="20"/>
      <c r="E24" s="20"/>
      <c r="F24" s="22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LX24"/>
      <c r="ALY24"/>
      <c r="ALZ24"/>
      <c r="AMA24"/>
      <c r="AMB24"/>
      <c r="AMC24"/>
      <c r="AMD24"/>
      <c r="AME24"/>
      <c r="AMF24"/>
      <c r="AMG24"/>
      <c r="AMH24"/>
      <c r="AMI24"/>
    </row>
    <row r="25" spans="1:1023" s="38" customFormat="1" hidden="1" x14ac:dyDescent="0.2">
      <c r="A25" s="20"/>
      <c r="B25" s="20"/>
      <c r="C25" s="20"/>
      <c r="D25" s="20"/>
      <c r="E25" s="20"/>
      <c r="F25" s="22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LX25"/>
      <c r="ALY25"/>
      <c r="ALZ25"/>
      <c r="AMA25"/>
      <c r="AMB25"/>
      <c r="AMC25"/>
      <c r="AMD25"/>
      <c r="AME25"/>
      <c r="AMF25"/>
      <c r="AMG25"/>
      <c r="AMH25"/>
      <c r="AMI25"/>
    </row>
    <row r="26" spans="1:1023" s="38" customFormat="1" hidden="1" x14ac:dyDescent="0.2">
      <c r="A26" s="20"/>
      <c r="B26" s="20"/>
      <c r="C26" s="20"/>
      <c r="D26" s="20"/>
      <c r="E26" s="20"/>
      <c r="F26" s="22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LX26"/>
      <c r="ALY26"/>
      <c r="ALZ26"/>
      <c r="AMA26"/>
      <c r="AMB26"/>
      <c r="AMC26"/>
      <c r="AMD26"/>
      <c r="AME26"/>
      <c r="AMF26"/>
      <c r="AMG26"/>
      <c r="AMH26"/>
      <c r="AMI26"/>
    </row>
    <row r="27" spans="1:1023" s="38" customFormat="1" hidden="1" x14ac:dyDescent="0.2">
      <c r="A27" s="20"/>
      <c r="B27" s="20"/>
      <c r="C27" s="20"/>
      <c r="D27" s="20"/>
      <c r="E27" s="20"/>
      <c r="F27" s="22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LX27"/>
      <c r="ALY27"/>
      <c r="ALZ27"/>
      <c r="AMA27"/>
      <c r="AMB27"/>
      <c r="AMC27"/>
      <c r="AMD27"/>
      <c r="AME27"/>
      <c r="AMF27"/>
      <c r="AMG27"/>
      <c r="AMH27"/>
      <c r="AMI27"/>
    </row>
    <row r="28" spans="1:1023" s="38" customFormat="1" hidden="1" x14ac:dyDescent="0.2">
      <c r="A28" s="20"/>
      <c r="B28" s="20"/>
      <c r="C28" s="20"/>
      <c r="D28" s="20"/>
      <c r="E28" s="20"/>
      <c r="F28" s="22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LX28"/>
      <c r="ALY28"/>
      <c r="ALZ28"/>
      <c r="AMA28"/>
      <c r="AMB28"/>
      <c r="AMC28"/>
      <c r="AMD28"/>
      <c r="AME28"/>
      <c r="AMF28"/>
      <c r="AMG28"/>
      <c r="AMH28"/>
      <c r="AMI28"/>
    </row>
  </sheetData>
  <mergeCells count="24">
    <mergeCell ref="A19:F19"/>
    <mergeCell ref="A20:E20"/>
    <mergeCell ref="A21:E21"/>
    <mergeCell ref="A22:E22"/>
    <mergeCell ref="A14:E14"/>
    <mergeCell ref="A15:E15"/>
    <mergeCell ref="A16:F16"/>
    <mergeCell ref="B17:C17"/>
    <mergeCell ref="B18:C18"/>
    <mergeCell ref="A9:F9"/>
    <mergeCell ref="A10:E10"/>
    <mergeCell ref="A11:E11"/>
    <mergeCell ref="A12:E12"/>
    <mergeCell ref="A13:E13"/>
    <mergeCell ref="A6:B6"/>
    <mergeCell ref="C6:F6"/>
    <mergeCell ref="A7:B7"/>
    <mergeCell ref="C7:F7"/>
    <mergeCell ref="A8:F8"/>
    <mergeCell ref="A1:F1"/>
    <mergeCell ref="A2:F2"/>
    <mergeCell ref="A3:F3"/>
    <mergeCell ref="A4:F4"/>
    <mergeCell ref="A5:F5"/>
  </mergeCells>
  <printOptions horizontalCentered="1"/>
  <pageMargins left="0.39374999999999999" right="0.39374999999999999" top="0.39374999999999999" bottom="0.39374999999999999" header="0.51180555555555496" footer="0.51180555555555496"/>
  <pageSetup paperSize="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9251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9</vt:i4>
      </vt:variant>
    </vt:vector>
  </HeadingPairs>
  <TitlesOfParts>
    <vt:vector size="18" baseType="lpstr">
      <vt:lpstr>Instruções</vt:lpstr>
      <vt:lpstr>Proposta</vt:lpstr>
      <vt:lpstr>Insumos</vt:lpstr>
      <vt:lpstr>1</vt:lpstr>
      <vt:lpstr>2</vt:lpstr>
      <vt:lpstr>3</vt:lpstr>
      <vt:lpstr>4</vt:lpstr>
      <vt:lpstr>Equipamentos</vt:lpstr>
      <vt:lpstr>Combustível</vt:lpstr>
      <vt:lpstr>'1'!Area_de_impressao</vt:lpstr>
      <vt:lpstr>'2'!Area_de_impressao</vt:lpstr>
      <vt:lpstr>'3'!Area_de_impressao</vt:lpstr>
      <vt:lpstr>'4'!Area_de_impressao</vt:lpstr>
      <vt:lpstr>Combustível!Area_de_impressao</vt:lpstr>
      <vt:lpstr>Equipamentos!Area_de_impressao</vt:lpstr>
      <vt:lpstr>Instruções!Area_de_impressao</vt:lpstr>
      <vt:lpstr>Insumos!Area_de_impressao</vt:lpstr>
      <vt:lpstr>Proposta!Area_de_impressao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CESAR AUGUSTO DI DOMENICO</dc:creator>
  <dc:description/>
  <cp:lastModifiedBy>GRASIELA DYEVIESKI</cp:lastModifiedBy>
  <cp:revision>972</cp:revision>
  <cp:lastPrinted>2023-02-23T12:31:45Z</cp:lastPrinted>
  <dcterms:created xsi:type="dcterms:W3CDTF">2020-07-16T17:43:05Z</dcterms:created>
  <dcterms:modified xsi:type="dcterms:W3CDTF">2023-04-05T17:02:41Z</dcterms:modified>
  <dc:language>pt-BR</dc:language>
</cp:coreProperties>
</file>